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pivotTables/pivotTable6.xml" ContentType="application/vnd.openxmlformats-officedocument.spreadsheetml.pivotTable+xml"/>
  <Override PartName="/xl/pivotTables/pivotTable7.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majo2\Downloads\"/>
    </mc:Choice>
  </mc:AlternateContent>
  <xr:revisionPtr revIDLastSave="0" documentId="13_ncr:1_{B771BA98-EC7C-4D81-8023-932E69DD1CC1}" xr6:coauthVersionLast="47" xr6:coauthVersionMax="47" xr10:uidLastSave="{00000000-0000-0000-0000-000000000000}"/>
  <bookViews>
    <workbookView xWindow="-120" yWindow="-120" windowWidth="20730" windowHeight="11160" xr2:uid="{00000000-000D-0000-FFFF-FFFF00000000}"/>
  </bookViews>
  <sheets>
    <sheet name="PAA 2025 Consolidado_septiembre" sheetId="1" r:id="rId1"/>
    <sheet name="Ejecución por proyecto de inver" sheetId="6" state="hidden" r:id="rId2"/>
    <sheet name="Tablas dinámicas" sheetId="7" state="hidden" r:id="rId3"/>
    <sheet name="TablaDianmica" sheetId="8" state="hidden" r:id="rId4"/>
    <sheet name="Programación por dependencia" sheetId="9" state="hidden" r:id="rId5"/>
    <sheet name="Tabla dinámica 3" sheetId="10" state="hidden" r:id="rId6"/>
  </sheets>
  <definedNames>
    <definedName name="_xlnm._FilterDatabase" localSheetId="0" hidden="1">'PAA 2025 Consolidado_septiembre'!$A$8:$BG$622</definedName>
    <definedName name="_xlcn.WorksheetConnection_ConsolidadoA1AW3561">'PAA 2025 Consolidado_septiembre'!$B$8:$AZ$600</definedName>
    <definedName name="SegmentaciónDeDatos_Dependencia">#REF!</definedName>
    <definedName name="SegmentaciónDeDatos_Mes_de_registro_del_contrato">#REF!</definedName>
    <definedName name="SegmentaciónDeDatos_Tipo_de_PAA">#REF!</definedName>
    <definedName name="Z_12A9DC78_312D_4AD0_B085_FCC3F7E7BEF5_.wvu.FilterData" localSheetId="0" hidden="1">'PAA 2025 Consolidado_septiembre'!$A$8:$BG$622</definedName>
    <definedName name="Z_221FD432_1599_45C5_8512_48144757B1EA_.wvu.FilterData" localSheetId="0" hidden="1">'PAA 2025 Consolidado_septiembre'!$A$8:$BG$622</definedName>
    <definedName name="Z_7484E0A0_6516_42FC_BECF_0E81A1F4B71A_.wvu.FilterData" localSheetId="0" hidden="1">'PAA 2025 Consolidado_septiembre'!$A$8:$BG$622</definedName>
    <definedName name="Z_79F34526_313D_4CF2_A966_0D6C47098B2D_.wvu.FilterData" localSheetId="0" hidden="1">'PAA 2025 Consolidado_septiembre'!$A$8:$BG$627</definedName>
    <definedName name="Z_D23EF4C3_5350_445E_A0A7_558492830D52_.wvu.FilterData" localSheetId="0" hidden="1">'PAA 2025 Consolidado_septiembre'!$A$8:$BG$627</definedName>
    <definedName name="Z_D5009EF8_1BE7_4276_A44E_5EFB20C48845_.wvu.FilterData" localSheetId="0" hidden="1">'PAA 2025 Consolidado_septiembre'!$A$8:$BG$627</definedName>
    <definedName name="Z_E29F7C0F_2FBC_4C25_BAE8_01A24005CEF1_.wvu.FilterData" localSheetId="0" hidden="1">'PAA 2025 Consolidado_septiembre'!$A$8:$BG$627</definedName>
  </definedNames>
  <calcPr calcId="191029"/>
  <customWorkbookViews>
    <customWorkbookView name="Viviaana M" guid="{D5009EF8-1BE7-4276-A44E-5EFB20C48845}" maximized="1" windowWidth="0" windowHeight="0" activeSheetId="0"/>
    <customWorkbookView name="Diego Vanegas" guid="{221FD432-1599-45C5-8512-48144757B1EA}" maximized="1" windowWidth="0" windowHeight="0" activeSheetId="0"/>
    <customWorkbookView name="Luz Adriana" guid="{D23EF4C3-5350-445E-A0A7-558492830D52}" maximized="1" windowWidth="0" windowHeight="0" activeSheetId="0"/>
    <customWorkbookView name="Oliver" guid="{12A9DC78-312D-4AD0-B085-FCC3F7E7BEF5}" maximized="1" windowWidth="0" windowHeight="0" activeSheetId="0"/>
    <customWorkbookView name="Adri Munar" guid="{7484E0A0-6516-42FC-BECF-0E81A1F4B71A}" maximized="1" windowWidth="0" windowHeight="0" activeSheetId="0"/>
    <customWorkbookView name="Jenn" guid="{79F34526-313D-4CF2-A966-0D6C47098B2D}" maximized="1" windowWidth="0" windowHeight="0" activeSheetId="0"/>
    <customWorkbookView name="Viviana" guid="{91252F37-C2D5-477C-A56F-9D3635637A20}" maximized="1" windowWidth="0" windowHeight="0" activeSheetId="0"/>
    <customWorkbookView name="Majo" guid="{E29F7C0F-2FBC-4C25-BAE8-01A24005CEF1}" maximized="1" windowWidth="0" windowHeight="0" activeSheetId="0"/>
  </customWorkbookViews>
  <pivotCaches>
    <pivotCache cacheId="10" r:id="rId7"/>
    <pivotCache cacheId="17" r:id="rId8"/>
    <pivotCache cacheId="22"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0" l="1"/>
  <c r="E22" i="10"/>
  <c r="N30" i="9"/>
  <c r="N32" i="9" s="1"/>
  <c r="N13" i="9"/>
  <c r="N15" i="9" s="1"/>
  <c r="C25" i="6"/>
  <c r="B25" i="6"/>
  <c r="C24" i="6"/>
  <c r="B24" i="6"/>
  <c r="C23" i="6"/>
  <c r="B23" i="6"/>
  <c r="C22" i="6"/>
  <c r="B22" i="6"/>
  <c r="C21" i="6"/>
  <c r="B21" i="6"/>
  <c r="C20" i="6"/>
  <c r="B20" i="6"/>
  <c r="C19" i="6"/>
  <c r="B19" i="6"/>
  <c r="C18" i="6"/>
  <c r="B18" i="6"/>
  <c r="C17" i="6"/>
  <c r="B17" i="6"/>
  <c r="C16" i="6"/>
  <c r="B16" i="6"/>
  <c r="BD626" i="1"/>
  <c r="BC626" i="1"/>
  <c r="BF626" i="1" s="1"/>
  <c r="BD625" i="1"/>
  <c r="BC625" i="1"/>
  <c r="BF625" i="1" s="1"/>
  <c r="BD624" i="1"/>
  <c r="BC624" i="1"/>
  <c r="BF624" i="1" s="1"/>
  <c r="BD623" i="1"/>
  <c r="BC623" i="1"/>
  <c r="BF623" i="1" s="1"/>
  <c r="BD622" i="1"/>
  <c r="BC622" i="1"/>
  <c r="BF622" i="1" s="1"/>
  <c r="BD621" i="1"/>
  <c r="BC621" i="1"/>
  <c r="BF621" i="1" s="1"/>
  <c r="BD620" i="1"/>
  <c r="BC620" i="1"/>
  <c r="BF620" i="1" s="1"/>
  <c r="BD619" i="1"/>
  <c r="BC619" i="1"/>
  <c r="BF619" i="1" s="1"/>
  <c r="BD618" i="1"/>
  <c r="BC618" i="1"/>
  <c r="BF618" i="1" s="1"/>
  <c r="BD617" i="1"/>
  <c r="BC617" i="1"/>
  <c r="BF617" i="1" s="1"/>
  <c r="BD616" i="1"/>
  <c r="BC616" i="1"/>
  <c r="BF616" i="1" s="1"/>
  <c r="BD615" i="1"/>
  <c r="BC615" i="1"/>
  <c r="BF615" i="1" s="1"/>
  <c r="BD614" i="1"/>
  <c r="BC614" i="1"/>
  <c r="BF614" i="1" s="1"/>
  <c r="BD613" i="1"/>
  <c r="BC613" i="1"/>
  <c r="BF613" i="1" s="1"/>
  <c r="BD612" i="1"/>
  <c r="BC612" i="1"/>
  <c r="BF612" i="1" s="1"/>
  <c r="BD611" i="1"/>
  <c r="BC611" i="1"/>
  <c r="BF611" i="1" s="1"/>
  <c r="BD610" i="1"/>
  <c r="BC610" i="1"/>
  <c r="BF610" i="1" s="1"/>
  <c r="BD609" i="1"/>
  <c r="BC609" i="1"/>
  <c r="BF609" i="1" s="1"/>
  <c r="BD608" i="1"/>
  <c r="BC608" i="1"/>
  <c r="BF608" i="1" s="1"/>
  <c r="BD607" i="1"/>
  <c r="BC607" i="1"/>
  <c r="BF607" i="1" s="1"/>
  <c r="BD606" i="1"/>
  <c r="BC606" i="1"/>
  <c r="BF606" i="1" s="1"/>
  <c r="BD605" i="1"/>
  <c r="BC605" i="1"/>
  <c r="BF605" i="1" s="1"/>
  <c r="BD604" i="1"/>
  <c r="BC604" i="1"/>
  <c r="BF604" i="1" s="1"/>
  <c r="BD603" i="1"/>
  <c r="BC603" i="1"/>
  <c r="BF603" i="1" s="1"/>
  <c r="BD602" i="1"/>
  <c r="BC602" i="1"/>
  <c r="BF602" i="1" s="1"/>
  <c r="BD601" i="1"/>
  <c r="BC601" i="1"/>
  <c r="BF601" i="1" s="1"/>
  <c r="BD600" i="1"/>
  <c r="BC600" i="1"/>
  <c r="BF600" i="1" s="1"/>
  <c r="BD599" i="1"/>
  <c r="BC599" i="1"/>
  <c r="BF599" i="1" s="1"/>
  <c r="BD598" i="1"/>
  <c r="BC598" i="1"/>
  <c r="BF598" i="1" s="1"/>
  <c r="BD597" i="1"/>
  <c r="BC597" i="1"/>
  <c r="BF597" i="1" s="1"/>
  <c r="BD596" i="1"/>
  <c r="BC596" i="1"/>
  <c r="BF596" i="1" s="1"/>
  <c r="BD595" i="1"/>
  <c r="BC595" i="1"/>
  <c r="BF595" i="1" s="1"/>
  <c r="BD594" i="1"/>
  <c r="BC594" i="1"/>
  <c r="BF594" i="1" s="1"/>
  <c r="BD593" i="1"/>
  <c r="BC593" i="1"/>
  <c r="BF593" i="1" s="1"/>
  <c r="BD592" i="1"/>
  <c r="BC592" i="1"/>
  <c r="BF592" i="1" s="1"/>
  <c r="BD591" i="1"/>
  <c r="BC591" i="1"/>
  <c r="BF591" i="1" s="1"/>
  <c r="BD590" i="1"/>
  <c r="BC590" i="1"/>
  <c r="BF590" i="1" s="1"/>
  <c r="BD589" i="1"/>
  <c r="BC589" i="1"/>
  <c r="BF589" i="1" s="1"/>
  <c r="BD588" i="1"/>
  <c r="BC588" i="1"/>
  <c r="BF588" i="1" s="1"/>
  <c r="BD587" i="1"/>
  <c r="BC587" i="1"/>
  <c r="BF587" i="1" s="1"/>
  <c r="BD586" i="1"/>
  <c r="BC586" i="1"/>
  <c r="BF586" i="1" s="1"/>
  <c r="BD585" i="1"/>
  <c r="BC585" i="1"/>
  <c r="BF585" i="1" s="1"/>
  <c r="BD584" i="1"/>
  <c r="BC584" i="1"/>
  <c r="BF584" i="1" s="1"/>
  <c r="BD583" i="1"/>
  <c r="BC583" i="1"/>
  <c r="BF583" i="1" s="1"/>
  <c r="BD582" i="1"/>
  <c r="BC582" i="1"/>
  <c r="BF582" i="1" s="1"/>
  <c r="BD581" i="1"/>
  <c r="BC581" i="1"/>
  <c r="BF581" i="1" s="1"/>
  <c r="BD580" i="1"/>
  <c r="BC580" i="1"/>
  <c r="BF580" i="1" s="1"/>
  <c r="BD579" i="1"/>
  <c r="BC579" i="1"/>
  <c r="BF579" i="1" s="1"/>
  <c r="BD578" i="1"/>
  <c r="BC578" i="1"/>
  <c r="BF578" i="1" s="1"/>
  <c r="BD577" i="1"/>
  <c r="BC577" i="1"/>
  <c r="BF577" i="1" s="1"/>
  <c r="BD576" i="1"/>
  <c r="BC576" i="1"/>
  <c r="BF576" i="1" s="1"/>
  <c r="BD575" i="1"/>
  <c r="BC575" i="1"/>
  <c r="BF575" i="1" s="1"/>
  <c r="BD574" i="1"/>
  <c r="BC574" i="1"/>
  <c r="BF574" i="1" s="1"/>
  <c r="BD573" i="1"/>
  <c r="BC573" i="1"/>
  <c r="BF573" i="1" s="1"/>
  <c r="BD572" i="1"/>
  <c r="BG572" i="1" s="1"/>
  <c r="BC572" i="1"/>
  <c r="BF572" i="1" s="1"/>
  <c r="BD571" i="1"/>
  <c r="BG571" i="1" s="1"/>
  <c r="BC571" i="1"/>
  <c r="BF571" i="1" s="1"/>
  <c r="BD570" i="1"/>
  <c r="BG570" i="1" s="1"/>
  <c r="BC570" i="1"/>
  <c r="BF570" i="1" s="1"/>
  <c r="BD569" i="1"/>
  <c r="BG569" i="1" s="1"/>
  <c r="BC569" i="1"/>
  <c r="BF569" i="1" s="1"/>
  <c r="BD568" i="1"/>
  <c r="BG568" i="1" s="1"/>
  <c r="BC568" i="1"/>
  <c r="BF568" i="1" s="1"/>
  <c r="BD567" i="1"/>
  <c r="BG567" i="1" s="1"/>
  <c r="BC567" i="1"/>
  <c r="BD566" i="1"/>
  <c r="BG566" i="1" s="1"/>
  <c r="BC566" i="1"/>
  <c r="BF566" i="1" s="1"/>
  <c r="BD565" i="1"/>
  <c r="BG565" i="1" s="1"/>
  <c r="BC565" i="1"/>
  <c r="BD564" i="1"/>
  <c r="BG564" i="1" s="1"/>
  <c r="BC564" i="1"/>
  <c r="BF564" i="1" s="1"/>
  <c r="BD563" i="1"/>
  <c r="BG563" i="1" s="1"/>
  <c r="BC563" i="1"/>
  <c r="BF563" i="1" s="1"/>
  <c r="BD562" i="1"/>
  <c r="BG562" i="1" s="1"/>
  <c r="BC562" i="1"/>
  <c r="BF562" i="1" s="1"/>
  <c r="BD561" i="1"/>
  <c r="BG561" i="1" s="1"/>
  <c r="BC561" i="1"/>
  <c r="BF561" i="1" s="1"/>
  <c r="BD560" i="1"/>
  <c r="BG560" i="1" s="1"/>
  <c r="BC560" i="1"/>
  <c r="BF560" i="1" s="1"/>
  <c r="BD559" i="1"/>
  <c r="BG559" i="1" s="1"/>
  <c r="BC559" i="1"/>
  <c r="BD558" i="1"/>
  <c r="BG558" i="1" s="1"/>
  <c r="BC558" i="1"/>
  <c r="BF558" i="1" s="1"/>
  <c r="BD557" i="1"/>
  <c r="BG557" i="1" s="1"/>
  <c r="BC557" i="1"/>
  <c r="BD556" i="1"/>
  <c r="BG556" i="1" s="1"/>
  <c r="BC556" i="1"/>
  <c r="BF556" i="1" s="1"/>
  <c r="BD555" i="1"/>
  <c r="BG555" i="1" s="1"/>
  <c r="BC555" i="1"/>
  <c r="BD554" i="1"/>
  <c r="BG554" i="1" s="1"/>
  <c r="BC554" i="1"/>
  <c r="BF554" i="1" s="1"/>
  <c r="BD553" i="1"/>
  <c r="BG553" i="1" s="1"/>
  <c r="BC553" i="1"/>
  <c r="BF553" i="1" s="1"/>
  <c r="BD552" i="1"/>
  <c r="BG552" i="1" s="1"/>
  <c r="BC552" i="1"/>
  <c r="BF552" i="1" s="1"/>
  <c r="BD551" i="1"/>
  <c r="BG551" i="1" s="1"/>
  <c r="BC551" i="1"/>
  <c r="BD550" i="1"/>
  <c r="BG550" i="1" s="1"/>
  <c r="BC550" i="1"/>
  <c r="BF550" i="1" s="1"/>
  <c r="BD549" i="1"/>
  <c r="BG549" i="1" s="1"/>
  <c r="BC549" i="1"/>
  <c r="BD548" i="1"/>
  <c r="BG548" i="1" s="1"/>
  <c r="BC548" i="1"/>
  <c r="BF548" i="1" s="1"/>
  <c r="BD547" i="1"/>
  <c r="BG547" i="1" s="1"/>
  <c r="BC547" i="1"/>
  <c r="BD546" i="1"/>
  <c r="BG546" i="1" s="1"/>
  <c r="BC546" i="1"/>
  <c r="BF546" i="1" s="1"/>
  <c r="BD545" i="1"/>
  <c r="BG545" i="1" s="1"/>
  <c r="BC545" i="1"/>
  <c r="BD544" i="1"/>
  <c r="BG544" i="1" s="1"/>
  <c r="BC544" i="1"/>
  <c r="BF544" i="1" s="1"/>
  <c r="BD543" i="1"/>
  <c r="BG543" i="1" s="1"/>
  <c r="BC543" i="1"/>
  <c r="BF543" i="1" s="1"/>
  <c r="BD542" i="1"/>
  <c r="BG542" i="1" s="1"/>
  <c r="BC542" i="1"/>
  <c r="BD541" i="1"/>
  <c r="BG541" i="1" s="1"/>
  <c r="BC541" i="1"/>
  <c r="BD540" i="1"/>
  <c r="BG540" i="1" s="1"/>
  <c r="BC540" i="1"/>
  <c r="BD539" i="1"/>
  <c r="BG539" i="1" s="1"/>
  <c r="BC539" i="1"/>
  <c r="BD538" i="1"/>
  <c r="BG538" i="1" s="1"/>
  <c r="BC538" i="1"/>
  <c r="BD537" i="1"/>
  <c r="BG537" i="1" s="1"/>
  <c r="BC537" i="1"/>
  <c r="BD536" i="1"/>
  <c r="BG536" i="1" s="1"/>
  <c r="BC536" i="1"/>
  <c r="BD535" i="1"/>
  <c r="BG535" i="1" s="1"/>
  <c r="BC535" i="1"/>
  <c r="BD534" i="1"/>
  <c r="BG534" i="1" s="1"/>
  <c r="BC534" i="1"/>
  <c r="BD533" i="1"/>
  <c r="BG533" i="1" s="1"/>
  <c r="BC533" i="1"/>
  <c r="BD532" i="1"/>
  <c r="BG532" i="1" s="1"/>
  <c r="BC532" i="1"/>
  <c r="BF532" i="1" s="1"/>
  <c r="BD531" i="1"/>
  <c r="BG531" i="1" s="1"/>
  <c r="BC531" i="1"/>
  <c r="BD530" i="1"/>
  <c r="BG530" i="1" s="1"/>
  <c r="BC530" i="1"/>
  <c r="BF530" i="1" s="1"/>
  <c r="BD529" i="1"/>
  <c r="BG529" i="1" s="1"/>
  <c r="BC529" i="1"/>
  <c r="BD528" i="1"/>
  <c r="BG528" i="1" s="1"/>
  <c r="BC528" i="1"/>
  <c r="BF528" i="1" s="1"/>
  <c r="BD527" i="1"/>
  <c r="BG527" i="1" s="1"/>
  <c r="BC527" i="1"/>
  <c r="BD526" i="1"/>
  <c r="BG526" i="1" s="1"/>
  <c r="BC526" i="1"/>
  <c r="BF526" i="1" s="1"/>
  <c r="BD525" i="1"/>
  <c r="BG525" i="1" s="1"/>
  <c r="BC525" i="1"/>
  <c r="BD524" i="1"/>
  <c r="BG524" i="1" s="1"/>
  <c r="BC524" i="1"/>
  <c r="BF524" i="1" s="1"/>
  <c r="BD523" i="1"/>
  <c r="BG523" i="1" s="1"/>
  <c r="BC523" i="1"/>
  <c r="BD522" i="1"/>
  <c r="BG522" i="1" s="1"/>
  <c r="BC522" i="1"/>
  <c r="BD521" i="1"/>
  <c r="BG521" i="1" s="1"/>
  <c r="BC521" i="1"/>
  <c r="BD520" i="1"/>
  <c r="BG520" i="1" s="1"/>
  <c r="BC520" i="1"/>
  <c r="BD519" i="1"/>
  <c r="BG519" i="1" s="1"/>
  <c r="BC519" i="1"/>
  <c r="BD518" i="1"/>
  <c r="BG518" i="1" s="1"/>
  <c r="BC518" i="1"/>
  <c r="BF518" i="1" s="1"/>
  <c r="BD517" i="1"/>
  <c r="BG517" i="1" s="1"/>
  <c r="BC517" i="1"/>
  <c r="BD516" i="1"/>
  <c r="BG516" i="1" s="1"/>
  <c r="BC516" i="1"/>
  <c r="BD515" i="1"/>
  <c r="BG515" i="1" s="1"/>
  <c r="BC515" i="1"/>
  <c r="BD514" i="1"/>
  <c r="BG514" i="1" s="1"/>
  <c r="BC514" i="1"/>
  <c r="BF514" i="1" s="1"/>
  <c r="BD513" i="1"/>
  <c r="BG513" i="1" s="1"/>
  <c r="BC513" i="1"/>
  <c r="BD512" i="1"/>
  <c r="BG512" i="1" s="1"/>
  <c r="BC512" i="1"/>
  <c r="BF512" i="1" s="1"/>
  <c r="BD511" i="1"/>
  <c r="BG511" i="1" s="1"/>
  <c r="BC511" i="1"/>
  <c r="BD510" i="1"/>
  <c r="BG510" i="1" s="1"/>
  <c r="BC510" i="1"/>
  <c r="BF510" i="1" s="1"/>
  <c r="BD509" i="1"/>
  <c r="BG509" i="1" s="1"/>
  <c r="BC509" i="1"/>
  <c r="BD508" i="1"/>
  <c r="BG508" i="1" s="1"/>
  <c r="BC508" i="1"/>
  <c r="BF508" i="1" s="1"/>
  <c r="BD507" i="1"/>
  <c r="BG507" i="1" s="1"/>
  <c r="BC507" i="1"/>
  <c r="BD506" i="1"/>
  <c r="BG506" i="1" s="1"/>
  <c r="BC506" i="1"/>
  <c r="BF506" i="1" s="1"/>
  <c r="BD505" i="1"/>
  <c r="BG505" i="1" s="1"/>
  <c r="BC505" i="1"/>
  <c r="BD504" i="1"/>
  <c r="BG504" i="1" s="1"/>
  <c r="BC504" i="1"/>
  <c r="BF504" i="1" s="1"/>
  <c r="BD503" i="1"/>
  <c r="BG503" i="1" s="1"/>
  <c r="BC503" i="1"/>
  <c r="BD502" i="1"/>
  <c r="BG502" i="1" s="1"/>
  <c r="BC502" i="1"/>
  <c r="BF502" i="1" s="1"/>
  <c r="BD501" i="1"/>
  <c r="BG501" i="1" s="1"/>
  <c r="BC501" i="1"/>
  <c r="BF501" i="1" s="1"/>
  <c r="BD500" i="1"/>
  <c r="BG500" i="1" s="1"/>
  <c r="BC500" i="1"/>
  <c r="BF500" i="1" s="1"/>
  <c r="BD499" i="1"/>
  <c r="BG499" i="1" s="1"/>
  <c r="BC499" i="1"/>
  <c r="BD498" i="1"/>
  <c r="BG498" i="1" s="1"/>
  <c r="BC498" i="1"/>
  <c r="BD497" i="1"/>
  <c r="BG497" i="1" s="1"/>
  <c r="BC497" i="1"/>
  <c r="BD496" i="1"/>
  <c r="BG496" i="1" s="1"/>
  <c r="BC496" i="1"/>
  <c r="BF496" i="1" s="1"/>
  <c r="BD495" i="1"/>
  <c r="BG495" i="1" s="1"/>
  <c r="BC495" i="1"/>
  <c r="BF495" i="1" s="1"/>
  <c r="BD494" i="1"/>
  <c r="BG494" i="1" s="1"/>
  <c r="BC494" i="1"/>
  <c r="BF494" i="1" s="1"/>
  <c r="BD493" i="1"/>
  <c r="BG493" i="1" s="1"/>
  <c r="BC493" i="1"/>
  <c r="BD492" i="1"/>
  <c r="BG492" i="1" s="1"/>
  <c r="BC492" i="1"/>
  <c r="BD491" i="1"/>
  <c r="BG491" i="1" s="1"/>
  <c r="BC491" i="1"/>
  <c r="BF491" i="1" s="1"/>
  <c r="BD490" i="1"/>
  <c r="BG490" i="1" s="1"/>
  <c r="BC490" i="1"/>
  <c r="BF490" i="1" s="1"/>
  <c r="BD489" i="1"/>
  <c r="BG489" i="1" s="1"/>
  <c r="BC489" i="1"/>
  <c r="BD488" i="1"/>
  <c r="BG488" i="1" s="1"/>
  <c r="BC488" i="1"/>
  <c r="BD487" i="1"/>
  <c r="BG487" i="1" s="1"/>
  <c r="BC487" i="1"/>
  <c r="BF487" i="1" s="1"/>
  <c r="BD486" i="1"/>
  <c r="BG486" i="1" s="1"/>
  <c r="BC486" i="1"/>
  <c r="BF486" i="1" s="1"/>
  <c r="BD485" i="1"/>
  <c r="BG485" i="1" s="1"/>
  <c r="BC485" i="1"/>
  <c r="BF485" i="1" s="1"/>
  <c r="BD484" i="1"/>
  <c r="BG484" i="1" s="1"/>
  <c r="BC484" i="1"/>
  <c r="BD483" i="1"/>
  <c r="BG483" i="1" s="1"/>
  <c r="BC483" i="1"/>
  <c r="BF483" i="1" s="1"/>
  <c r="BD482" i="1"/>
  <c r="BG482" i="1" s="1"/>
  <c r="BC482" i="1"/>
  <c r="BF482" i="1" s="1"/>
  <c r="BD481" i="1"/>
  <c r="BG481" i="1" s="1"/>
  <c r="BC481" i="1"/>
  <c r="BF481" i="1" s="1"/>
  <c r="BD480" i="1"/>
  <c r="BG480" i="1" s="1"/>
  <c r="BC480" i="1"/>
  <c r="BD479" i="1"/>
  <c r="BG479" i="1" s="1"/>
  <c r="BC479" i="1"/>
  <c r="BF479" i="1" s="1"/>
  <c r="BC478" i="1"/>
  <c r="BF478" i="1" s="1"/>
  <c r="AX478" i="1"/>
  <c r="AV478" i="1"/>
  <c r="AT478" i="1"/>
  <c r="BD477" i="1"/>
  <c r="BG477" i="1" s="1"/>
  <c r="BC477" i="1"/>
  <c r="BF477" i="1" s="1"/>
  <c r="BD476" i="1"/>
  <c r="BG476" i="1" s="1"/>
  <c r="BC476" i="1"/>
  <c r="BF476" i="1" s="1"/>
  <c r="BD475" i="1"/>
  <c r="BG475" i="1" s="1"/>
  <c r="BC475" i="1"/>
  <c r="BF475" i="1" s="1"/>
  <c r="BD474" i="1"/>
  <c r="BG474" i="1" s="1"/>
  <c r="BC474" i="1"/>
  <c r="BF474" i="1" s="1"/>
  <c r="BD473" i="1"/>
  <c r="BG473" i="1" s="1"/>
  <c r="BC473" i="1"/>
  <c r="BD472" i="1"/>
  <c r="BG472" i="1" s="1"/>
  <c r="BC472" i="1"/>
  <c r="BD471" i="1"/>
  <c r="BG471" i="1" s="1"/>
  <c r="BC471" i="1"/>
  <c r="BD470" i="1"/>
  <c r="BG470" i="1" s="1"/>
  <c r="BC470" i="1"/>
  <c r="BF470" i="1" s="1"/>
  <c r="BD469" i="1"/>
  <c r="BG469" i="1" s="1"/>
  <c r="BC469" i="1"/>
  <c r="BF469" i="1" s="1"/>
  <c r="BC468" i="1"/>
  <c r="BF468" i="1" s="1"/>
  <c r="AN468" i="1"/>
  <c r="AH468" i="1"/>
  <c r="BC467" i="1"/>
  <c r="BF467" i="1" s="1"/>
  <c r="AN467" i="1"/>
  <c r="BD467" i="1" s="1"/>
  <c r="BG467" i="1" s="1"/>
  <c r="BC466" i="1"/>
  <c r="BF466" i="1" s="1"/>
  <c r="AL466" i="1"/>
  <c r="BD466" i="1" s="1"/>
  <c r="BG466" i="1" s="1"/>
  <c r="BD465" i="1"/>
  <c r="BG465" i="1" s="1"/>
  <c r="BC465" i="1"/>
  <c r="BF465" i="1" s="1"/>
  <c r="AT464" i="1"/>
  <c r="AS464" i="1"/>
  <c r="AR464" i="1"/>
  <c r="AQ464" i="1"/>
  <c r="AP464" i="1"/>
  <c r="AO464" i="1"/>
  <c r="AN464" i="1"/>
  <c r="AM464" i="1"/>
  <c r="AL464" i="1"/>
  <c r="AK464" i="1"/>
  <c r="AI464" i="1"/>
  <c r="AH464" i="1"/>
  <c r="AG464" i="1"/>
  <c r="AE464" i="1"/>
  <c r="BD463" i="1"/>
  <c r="BG463" i="1" s="1"/>
  <c r="BC463" i="1"/>
  <c r="BF463" i="1" s="1"/>
  <c r="BC462" i="1"/>
  <c r="BF462" i="1" s="1"/>
  <c r="AP462" i="1"/>
  <c r="AH462" i="1"/>
  <c r="BD461" i="1"/>
  <c r="BG461" i="1" s="1"/>
  <c r="BC461" i="1"/>
  <c r="BC460" i="1"/>
  <c r="AN460" i="1"/>
  <c r="BD460" i="1" s="1"/>
  <c r="BG460" i="1" s="1"/>
  <c r="BD459" i="1"/>
  <c r="BG459" i="1" s="1"/>
  <c r="BC459" i="1"/>
  <c r="BF459" i="1" s="1"/>
  <c r="BD458" i="1"/>
  <c r="BG458" i="1" s="1"/>
  <c r="BC458" i="1"/>
  <c r="BD457" i="1"/>
  <c r="BG457" i="1" s="1"/>
  <c r="AE457" i="1"/>
  <c r="BC457" i="1" s="1"/>
  <c r="BD456" i="1"/>
  <c r="BG456" i="1" s="1"/>
  <c r="BC456" i="1"/>
  <c r="BF456" i="1" s="1"/>
  <c r="BC455" i="1"/>
  <c r="BF455" i="1" s="1"/>
  <c r="AP455" i="1"/>
  <c r="AN455" i="1"/>
  <c r="BD454" i="1"/>
  <c r="BG454" i="1" s="1"/>
  <c r="BC454" i="1"/>
  <c r="BF454" i="1" s="1"/>
  <c r="BD453" i="1"/>
  <c r="BG453" i="1" s="1"/>
  <c r="BC453" i="1"/>
  <c r="BF453" i="1" s="1"/>
  <c r="BD452" i="1"/>
  <c r="BG452" i="1" s="1"/>
  <c r="BC452" i="1"/>
  <c r="BD451" i="1"/>
  <c r="BC451" i="1"/>
  <c r="BF451" i="1" s="1"/>
  <c r="BD450" i="1"/>
  <c r="BG450" i="1" s="1"/>
  <c r="BC450" i="1"/>
  <c r="BF450" i="1" s="1"/>
  <c r="BD449" i="1"/>
  <c r="BG449" i="1" s="1"/>
  <c r="BC449" i="1"/>
  <c r="BF449" i="1" s="1"/>
  <c r="BD448" i="1"/>
  <c r="BG448" i="1" s="1"/>
  <c r="BC448" i="1"/>
  <c r="BF448" i="1" s="1"/>
  <c r="BD447" i="1"/>
  <c r="BG447" i="1" s="1"/>
  <c r="BC447" i="1"/>
  <c r="BF447" i="1" s="1"/>
  <c r="BD446" i="1"/>
  <c r="BG446" i="1" s="1"/>
  <c r="BC446" i="1"/>
  <c r="BD445" i="1"/>
  <c r="BC445" i="1"/>
  <c r="BF445" i="1" s="1"/>
  <c r="BD444" i="1"/>
  <c r="BG444" i="1" s="1"/>
  <c r="BC444" i="1"/>
  <c r="BF444" i="1" s="1"/>
  <c r="BC443" i="1"/>
  <c r="BF443" i="1" s="1"/>
  <c r="AN443" i="1"/>
  <c r="AJ443" i="1"/>
  <c r="BD442" i="1"/>
  <c r="BG442" i="1" s="1"/>
  <c r="BC442" i="1"/>
  <c r="BF442" i="1" s="1"/>
  <c r="BD441" i="1"/>
  <c r="BG441" i="1" s="1"/>
  <c r="BC441" i="1"/>
  <c r="BF441" i="1" s="1"/>
  <c r="BD440" i="1"/>
  <c r="BC440" i="1"/>
  <c r="BF440" i="1" s="1"/>
  <c r="BC439" i="1"/>
  <c r="AN439" i="1"/>
  <c r="BD439" i="1" s="1"/>
  <c r="BG439" i="1" s="1"/>
  <c r="BD438" i="1"/>
  <c r="BG438" i="1" s="1"/>
  <c r="BC438" i="1"/>
  <c r="BF438" i="1" s="1"/>
  <c r="BD437" i="1"/>
  <c r="BC437" i="1"/>
  <c r="BF437" i="1" s="1"/>
  <c r="BD436" i="1"/>
  <c r="BC436" i="1"/>
  <c r="BF436" i="1" s="1"/>
  <c r="BD435" i="1"/>
  <c r="BC435" i="1"/>
  <c r="BF435" i="1" s="1"/>
  <c r="BD434" i="1"/>
  <c r="BG434" i="1" s="1"/>
  <c r="BC434" i="1"/>
  <c r="BD433" i="1"/>
  <c r="BG433" i="1" s="1"/>
  <c r="BC433" i="1"/>
  <c r="BF433" i="1" s="1"/>
  <c r="BD432" i="1"/>
  <c r="BG432" i="1" s="1"/>
  <c r="BC432" i="1"/>
  <c r="BF432" i="1" s="1"/>
  <c r="BD431" i="1"/>
  <c r="BG431" i="1" s="1"/>
  <c r="BC431" i="1"/>
  <c r="BF431" i="1" s="1"/>
  <c r="BC430" i="1"/>
  <c r="BF430" i="1" s="1"/>
  <c r="AT430" i="1"/>
  <c r="BD430" i="1" s="1"/>
  <c r="BG430" i="1" s="1"/>
  <c r="BD429" i="1"/>
  <c r="BG429" i="1" s="1"/>
  <c r="AE429" i="1"/>
  <c r="BC429" i="1" s="1"/>
  <c r="BD428" i="1"/>
  <c r="BG428" i="1" s="1"/>
  <c r="BC428" i="1"/>
  <c r="BF428" i="1" s="1"/>
  <c r="BD427" i="1"/>
  <c r="BG427" i="1" s="1"/>
  <c r="BC427" i="1"/>
  <c r="BF427" i="1" s="1"/>
  <c r="BC426" i="1"/>
  <c r="BF426" i="1" s="1"/>
  <c r="AP426" i="1"/>
  <c r="AN426" i="1"/>
  <c r="AL426" i="1"/>
  <c r="BD425" i="1"/>
  <c r="BG425" i="1" s="1"/>
  <c r="BC425" i="1"/>
  <c r="BF425" i="1" s="1"/>
  <c r="BC424" i="1"/>
  <c r="BF424" i="1" s="1"/>
  <c r="AN424" i="1"/>
  <c r="AJ424" i="1"/>
  <c r="BD423" i="1"/>
  <c r="BG423" i="1" s="1"/>
  <c r="BC423" i="1"/>
  <c r="BF423" i="1" s="1"/>
  <c r="BD422" i="1"/>
  <c r="BG422" i="1" s="1"/>
  <c r="BC422" i="1"/>
  <c r="BF422" i="1" s="1"/>
  <c r="BD421" i="1"/>
  <c r="BG421" i="1" s="1"/>
  <c r="BC421" i="1"/>
  <c r="BD420" i="1"/>
  <c r="BG420" i="1" s="1"/>
  <c r="BC420" i="1"/>
  <c r="BF420" i="1" s="1"/>
  <c r="BD419" i="1"/>
  <c r="BG419" i="1" s="1"/>
  <c r="BC419" i="1"/>
  <c r="BD418" i="1"/>
  <c r="BG418" i="1" s="1"/>
  <c r="BC418" i="1"/>
  <c r="BF418" i="1" s="1"/>
  <c r="BD417" i="1"/>
  <c r="BG417" i="1" s="1"/>
  <c r="BC417" i="1"/>
  <c r="BD416" i="1"/>
  <c r="BG416" i="1" s="1"/>
  <c r="BC416" i="1"/>
  <c r="BF416" i="1" s="1"/>
  <c r="BD415" i="1"/>
  <c r="BG415" i="1" s="1"/>
  <c r="BC415" i="1"/>
  <c r="BD414" i="1"/>
  <c r="BG414" i="1" s="1"/>
  <c r="BC414" i="1"/>
  <c r="BF414" i="1" s="1"/>
  <c r="BD413" i="1"/>
  <c r="BG413" i="1" s="1"/>
  <c r="BC413" i="1"/>
  <c r="BF413" i="1" s="1"/>
  <c r="BD412" i="1"/>
  <c r="BG412" i="1" s="1"/>
  <c r="BC412" i="1"/>
  <c r="BF412" i="1" s="1"/>
  <c r="BD411" i="1"/>
  <c r="BG411" i="1" s="1"/>
  <c r="BC411" i="1"/>
  <c r="BF411" i="1" s="1"/>
  <c r="BD410" i="1"/>
  <c r="BG410" i="1" s="1"/>
  <c r="BC410" i="1"/>
  <c r="BF410" i="1" s="1"/>
  <c r="BD409" i="1"/>
  <c r="BG409" i="1" s="1"/>
  <c r="BC409" i="1"/>
  <c r="BF409" i="1" s="1"/>
  <c r="BD408" i="1"/>
  <c r="BG408" i="1" s="1"/>
  <c r="BC408" i="1"/>
  <c r="BF408" i="1" s="1"/>
  <c r="BD407" i="1"/>
  <c r="BG407" i="1" s="1"/>
  <c r="BC407" i="1"/>
  <c r="BF407" i="1" s="1"/>
  <c r="BD406" i="1"/>
  <c r="BG406" i="1" s="1"/>
  <c r="BC406" i="1"/>
  <c r="BF406" i="1" s="1"/>
  <c r="BD405" i="1"/>
  <c r="BG405" i="1" s="1"/>
  <c r="BC405" i="1"/>
  <c r="BF405" i="1" s="1"/>
  <c r="BD404" i="1"/>
  <c r="BG404" i="1" s="1"/>
  <c r="BC404" i="1"/>
  <c r="BF404" i="1" s="1"/>
  <c r="AL403" i="1"/>
  <c r="AI403" i="1"/>
  <c r="AH403" i="1"/>
  <c r="AG403" i="1"/>
  <c r="BD402" i="1"/>
  <c r="BG402" i="1" s="1"/>
  <c r="BC402" i="1"/>
  <c r="BF402" i="1" s="1"/>
  <c r="BD401" i="1"/>
  <c r="BG401" i="1" s="1"/>
  <c r="BC401" i="1"/>
  <c r="BF401" i="1" s="1"/>
  <c r="BD400" i="1"/>
  <c r="BG400" i="1" s="1"/>
  <c r="BC400" i="1"/>
  <c r="BF400" i="1" s="1"/>
  <c r="BD399" i="1"/>
  <c r="BG399" i="1" s="1"/>
  <c r="BC399" i="1"/>
  <c r="BD398" i="1"/>
  <c r="BG398" i="1" s="1"/>
  <c r="BC398" i="1"/>
  <c r="BF398" i="1" s="1"/>
  <c r="BD397" i="1"/>
  <c r="BG397" i="1" s="1"/>
  <c r="BC397" i="1"/>
  <c r="BF397" i="1" s="1"/>
  <c r="BD396" i="1"/>
  <c r="BG396" i="1" s="1"/>
  <c r="BC396" i="1"/>
  <c r="BF396" i="1" s="1"/>
  <c r="BD395" i="1"/>
  <c r="BG395" i="1" s="1"/>
  <c r="BC395" i="1"/>
  <c r="BF395" i="1" s="1"/>
  <c r="BD394" i="1"/>
  <c r="BG394" i="1" s="1"/>
  <c r="BC394" i="1"/>
  <c r="BF394" i="1" s="1"/>
  <c r="BD393" i="1"/>
  <c r="BG393" i="1" s="1"/>
  <c r="BC393" i="1"/>
  <c r="BF393" i="1" s="1"/>
  <c r="BD392" i="1"/>
  <c r="BG392" i="1" s="1"/>
  <c r="BC392" i="1"/>
  <c r="BF392" i="1" s="1"/>
  <c r="BD391" i="1"/>
  <c r="BG391" i="1" s="1"/>
  <c r="BC391" i="1"/>
  <c r="BF391" i="1" s="1"/>
  <c r="BC390" i="1"/>
  <c r="BF390" i="1" s="1"/>
  <c r="AP390" i="1"/>
  <c r="AN390" i="1"/>
  <c r="AL390" i="1"/>
  <c r="AJ390" i="1"/>
  <c r="BD389" i="1"/>
  <c r="BG389" i="1" s="1"/>
  <c r="BC389" i="1"/>
  <c r="BF389" i="1" s="1"/>
  <c r="BD388" i="1"/>
  <c r="BG388" i="1" s="1"/>
  <c r="BC388" i="1"/>
  <c r="BF388" i="1" s="1"/>
  <c r="BD387" i="1"/>
  <c r="BG387" i="1" s="1"/>
  <c r="BC387" i="1"/>
  <c r="BF387" i="1" s="1"/>
  <c r="BD386" i="1"/>
  <c r="BG386" i="1" s="1"/>
  <c r="BC386" i="1"/>
  <c r="BF386" i="1" s="1"/>
  <c r="BD385" i="1"/>
  <c r="BG385" i="1" s="1"/>
  <c r="BC385" i="1"/>
  <c r="BF385" i="1" s="1"/>
  <c r="BD384" i="1"/>
  <c r="BG384" i="1" s="1"/>
  <c r="BC384" i="1"/>
  <c r="BF384" i="1" s="1"/>
  <c r="BD383" i="1"/>
  <c r="BG383" i="1" s="1"/>
  <c r="BC383" i="1"/>
  <c r="BF383" i="1" s="1"/>
  <c r="BD382" i="1"/>
  <c r="BG382" i="1" s="1"/>
  <c r="BC382" i="1"/>
  <c r="BF382" i="1" s="1"/>
  <c r="BD381" i="1"/>
  <c r="BC381" i="1"/>
  <c r="BF381" i="1" s="1"/>
  <c r="BD380" i="1"/>
  <c r="BC380" i="1"/>
  <c r="BF380" i="1" s="1"/>
  <c r="BD379" i="1"/>
  <c r="BC379" i="1"/>
  <c r="BF379" i="1" s="1"/>
  <c r="BD378" i="1"/>
  <c r="BC378" i="1"/>
  <c r="BF378" i="1" s="1"/>
  <c r="BD377" i="1"/>
  <c r="BG377" i="1" s="1"/>
  <c r="BC377" i="1"/>
  <c r="BF377" i="1" s="1"/>
  <c r="BD376" i="1"/>
  <c r="BG376" i="1" s="1"/>
  <c r="BC376" i="1"/>
  <c r="BD375" i="1"/>
  <c r="BG375" i="1" s="1"/>
  <c r="BC375" i="1"/>
  <c r="BD374" i="1"/>
  <c r="BG374" i="1" s="1"/>
  <c r="BC374" i="1"/>
  <c r="BD373" i="1"/>
  <c r="BG373" i="1" s="1"/>
  <c r="BC373" i="1"/>
  <c r="BD372" i="1"/>
  <c r="BG372" i="1" s="1"/>
  <c r="BC372" i="1"/>
  <c r="BD371" i="1"/>
  <c r="BG371" i="1" s="1"/>
  <c r="BC371" i="1"/>
  <c r="BD370" i="1"/>
  <c r="BG370" i="1" s="1"/>
  <c r="BC370" i="1"/>
  <c r="BF370" i="1" s="1"/>
  <c r="BD369" i="1"/>
  <c r="BG369" i="1" s="1"/>
  <c r="BC369" i="1"/>
  <c r="BD368" i="1"/>
  <c r="BG368" i="1" s="1"/>
  <c r="BC368" i="1"/>
  <c r="BD367" i="1"/>
  <c r="BG367" i="1" s="1"/>
  <c r="BC367" i="1"/>
  <c r="BD366" i="1"/>
  <c r="BG366" i="1" s="1"/>
  <c r="BC366" i="1"/>
  <c r="BF366" i="1" s="1"/>
  <c r="BC365" i="1"/>
  <c r="AJ365" i="1"/>
  <c r="BD365" i="1" s="1"/>
  <c r="BG365" i="1" s="1"/>
  <c r="BD364" i="1"/>
  <c r="BG364" i="1" s="1"/>
  <c r="BC364" i="1"/>
  <c r="BC363" i="1"/>
  <c r="AL363" i="1"/>
  <c r="BD363" i="1" s="1"/>
  <c r="BG363" i="1" s="1"/>
  <c r="BC362" i="1"/>
  <c r="BF362" i="1" s="1"/>
  <c r="AJ362" i="1"/>
  <c r="BD362" i="1" s="1"/>
  <c r="BD361" i="1"/>
  <c r="BG361" i="1" s="1"/>
  <c r="BC361" i="1"/>
  <c r="BD360" i="1"/>
  <c r="BG360" i="1" s="1"/>
  <c r="BC360" i="1"/>
  <c r="BC359" i="1"/>
  <c r="AR359" i="1"/>
  <c r="BD359" i="1" s="1"/>
  <c r="BG359" i="1" s="1"/>
  <c r="BC358" i="1"/>
  <c r="BF358" i="1" s="1"/>
  <c r="AN358" i="1"/>
  <c r="BD358" i="1" s="1"/>
  <c r="BG358" i="1" s="1"/>
  <c r="AT357" i="1"/>
  <c r="AS357" i="1"/>
  <c r="AP357" i="1"/>
  <c r="AO357" i="1"/>
  <c r="AN357" i="1"/>
  <c r="AM357" i="1"/>
  <c r="AL357" i="1"/>
  <c r="AK357" i="1"/>
  <c r="AJ357" i="1"/>
  <c r="AI357" i="1"/>
  <c r="AH357" i="1"/>
  <c r="AG357" i="1"/>
  <c r="BC356" i="1"/>
  <c r="BF356" i="1" s="1"/>
  <c r="AR356" i="1"/>
  <c r="BD356" i="1" s="1"/>
  <c r="BD355" i="1"/>
  <c r="BG355" i="1" s="1"/>
  <c r="BC355" i="1"/>
  <c r="BD354" i="1"/>
  <c r="BG354" i="1" s="1"/>
  <c r="BC354" i="1"/>
  <c r="BD353" i="1"/>
  <c r="BG353" i="1" s="1"/>
  <c r="BC353" i="1"/>
  <c r="BD352" i="1"/>
  <c r="BG352" i="1" s="1"/>
  <c r="BC352" i="1"/>
  <c r="BF352" i="1" s="1"/>
  <c r="BD351" i="1"/>
  <c r="BG351" i="1" s="1"/>
  <c r="BC351" i="1"/>
  <c r="BD350" i="1"/>
  <c r="BG350" i="1" s="1"/>
  <c r="BC350" i="1"/>
  <c r="BC349" i="1"/>
  <c r="BF349" i="1" s="1"/>
  <c r="AR349" i="1"/>
  <c r="AL349" i="1"/>
  <c r="BC348" i="1"/>
  <c r="BF348" i="1" s="1"/>
  <c r="AV348" i="1"/>
  <c r="AN348" i="1"/>
  <c r="BD347" i="1"/>
  <c r="BG347" i="1" s="1"/>
  <c r="BC347" i="1"/>
  <c r="BD346" i="1"/>
  <c r="BG346" i="1" s="1"/>
  <c r="BC346" i="1"/>
  <c r="BD345" i="1"/>
  <c r="BG345" i="1" s="1"/>
  <c r="BC345" i="1"/>
  <c r="BF345" i="1" s="1"/>
  <c r="BD344" i="1"/>
  <c r="BG344" i="1" s="1"/>
  <c r="BC344" i="1"/>
  <c r="BF344" i="1" s="1"/>
  <c r="BD343" i="1"/>
  <c r="BG343" i="1" s="1"/>
  <c r="BC343" i="1"/>
  <c r="BF343" i="1" s="1"/>
  <c r="BD342" i="1"/>
  <c r="BG342" i="1" s="1"/>
  <c r="BC342" i="1"/>
  <c r="BF342" i="1" s="1"/>
  <c r="BD341" i="1"/>
  <c r="BG341" i="1" s="1"/>
  <c r="BC341" i="1"/>
  <c r="BF341" i="1" s="1"/>
  <c r="BD340" i="1"/>
  <c r="BG340" i="1" s="1"/>
  <c r="BC340" i="1"/>
  <c r="BF340" i="1" s="1"/>
  <c r="BD339" i="1"/>
  <c r="BG339" i="1" s="1"/>
  <c r="BC339" i="1"/>
  <c r="BF339" i="1" s="1"/>
  <c r="BD338" i="1"/>
  <c r="BG338" i="1" s="1"/>
  <c r="BC338" i="1"/>
  <c r="BD337" i="1"/>
  <c r="BG337" i="1" s="1"/>
  <c r="BC337" i="1"/>
  <c r="BF337" i="1" s="1"/>
  <c r="BD336" i="1"/>
  <c r="BG336" i="1" s="1"/>
  <c r="BC336" i="1"/>
  <c r="BF336" i="1" s="1"/>
  <c r="BD335" i="1"/>
  <c r="BG335" i="1" s="1"/>
  <c r="BC335" i="1"/>
  <c r="BF335" i="1" s="1"/>
  <c r="BD334" i="1"/>
  <c r="BG334" i="1" s="1"/>
  <c r="BC334" i="1"/>
  <c r="BD333" i="1"/>
  <c r="BG333" i="1" s="1"/>
  <c r="BC333" i="1"/>
  <c r="BD332" i="1"/>
  <c r="BG332" i="1" s="1"/>
  <c r="BC332" i="1"/>
  <c r="BC331" i="1"/>
  <c r="AT331" i="1"/>
  <c r="BD331" i="1" s="1"/>
  <c r="BG331" i="1" s="1"/>
  <c r="BD330" i="1"/>
  <c r="BG330" i="1" s="1"/>
  <c r="AS330" i="1"/>
  <c r="BC330" i="1" s="1"/>
  <c r="BF330" i="1" s="1"/>
  <c r="BC329" i="1"/>
  <c r="BF329" i="1" s="1"/>
  <c r="AN329" i="1"/>
  <c r="AJ329" i="1"/>
  <c r="BD328" i="1"/>
  <c r="BG328" i="1" s="1"/>
  <c r="BC328" i="1"/>
  <c r="BF328" i="1" s="1"/>
  <c r="AT327" i="1"/>
  <c r="AS327" i="1"/>
  <c r="AP327" i="1"/>
  <c r="AM327" i="1"/>
  <c r="AJ327" i="1"/>
  <c r="AI327" i="1"/>
  <c r="BD326" i="1"/>
  <c r="BG326" i="1" s="1"/>
  <c r="BC326" i="1"/>
  <c r="BF326" i="1" s="1"/>
  <c r="BD325" i="1"/>
  <c r="BG325" i="1" s="1"/>
  <c r="BC325" i="1"/>
  <c r="BF325" i="1" s="1"/>
  <c r="BD324" i="1"/>
  <c r="BG324" i="1" s="1"/>
  <c r="BC324" i="1"/>
  <c r="BF324" i="1" s="1"/>
  <c r="BD323" i="1"/>
  <c r="BG323" i="1" s="1"/>
  <c r="BC323" i="1"/>
  <c r="BF323" i="1" s="1"/>
  <c r="BC322" i="1"/>
  <c r="AN322" i="1"/>
  <c r="BD322" i="1" s="1"/>
  <c r="BG322" i="1" s="1"/>
  <c r="BD321" i="1"/>
  <c r="BG321" i="1" s="1"/>
  <c r="BC321" i="1"/>
  <c r="BF321" i="1" s="1"/>
  <c r="BD320" i="1"/>
  <c r="BG320" i="1" s="1"/>
  <c r="BC320" i="1"/>
  <c r="BC319" i="1"/>
  <c r="AZ319" i="1"/>
  <c r="BD319" i="1" s="1"/>
  <c r="BG319" i="1" s="1"/>
  <c r="BD318" i="1"/>
  <c r="BG318" i="1" s="1"/>
  <c r="BC318" i="1"/>
  <c r="BF318" i="1" s="1"/>
  <c r="BD317" i="1"/>
  <c r="BG317" i="1" s="1"/>
  <c r="BC317" i="1"/>
  <c r="BF317" i="1" s="1"/>
  <c r="BD316" i="1"/>
  <c r="BG316" i="1" s="1"/>
  <c r="BC316" i="1"/>
  <c r="BD315" i="1"/>
  <c r="BG315" i="1" s="1"/>
  <c r="BC315" i="1"/>
  <c r="BF315" i="1" s="1"/>
  <c r="BD314" i="1"/>
  <c r="BG314" i="1" s="1"/>
  <c r="BC314" i="1"/>
  <c r="BF314" i="1" s="1"/>
  <c r="BD313" i="1"/>
  <c r="BG313" i="1" s="1"/>
  <c r="BC313" i="1"/>
  <c r="BD312" i="1"/>
  <c r="BG312" i="1" s="1"/>
  <c r="BC312" i="1"/>
  <c r="BD311" i="1"/>
  <c r="BG311" i="1" s="1"/>
  <c r="BC311" i="1"/>
  <c r="BD310" i="1"/>
  <c r="BG310" i="1" s="1"/>
  <c r="BC310" i="1"/>
  <c r="BD309" i="1"/>
  <c r="BG309" i="1" s="1"/>
  <c r="BC309" i="1"/>
  <c r="BD308" i="1"/>
  <c r="BG308" i="1" s="1"/>
  <c r="BC308" i="1"/>
  <c r="BD307" i="1"/>
  <c r="BG307" i="1" s="1"/>
  <c r="BC307" i="1"/>
  <c r="BD306" i="1"/>
  <c r="BG306" i="1" s="1"/>
  <c r="BC306" i="1"/>
  <c r="BF306" i="1" s="1"/>
  <c r="BD305" i="1"/>
  <c r="BG305" i="1" s="1"/>
  <c r="BC305" i="1"/>
  <c r="BF305" i="1" s="1"/>
  <c r="BD304" i="1"/>
  <c r="BG304" i="1" s="1"/>
  <c r="BC304" i="1"/>
  <c r="BF304" i="1" s="1"/>
  <c r="BD303" i="1"/>
  <c r="BG303" i="1" s="1"/>
  <c r="BC303" i="1"/>
  <c r="BD302" i="1"/>
  <c r="BG302" i="1" s="1"/>
  <c r="AO302" i="1"/>
  <c r="BC302" i="1" s="1"/>
  <c r="BD301" i="1"/>
  <c r="BG301" i="1" s="1"/>
  <c r="BC301" i="1"/>
  <c r="BD300" i="1"/>
  <c r="BC300" i="1"/>
  <c r="BF300" i="1" s="1"/>
  <c r="BD299" i="1"/>
  <c r="BC299" i="1"/>
  <c r="BF299" i="1" s="1"/>
  <c r="BD298" i="1"/>
  <c r="BC298" i="1"/>
  <c r="BF298" i="1" s="1"/>
  <c r="BD297" i="1"/>
  <c r="BC297" i="1"/>
  <c r="BF297" i="1" s="1"/>
  <c r="BD296" i="1"/>
  <c r="BC296" i="1"/>
  <c r="BF296" i="1" s="1"/>
  <c r="BD295" i="1"/>
  <c r="BC295" i="1"/>
  <c r="BF295" i="1" s="1"/>
  <c r="BD294" i="1"/>
  <c r="BC294" i="1"/>
  <c r="BF294" i="1" s="1"/>
  <c r="BD293" i="1"/>
  <c r="BC293" i="1"/>
  <c r="BF293" i="1" s="1"/>
  <c r="BD292" i="1"/>
  <c r="BC292" i="1"/>
  <c r="BF292" i="1" s="1"/>
  <c r="BD291" i="1"/>
  <c r="BC291" i="1"/>
  <c r="BF291" i="1" s="1"/>
  <c r="BD290" i="1"/>
  <c r="BC290" i="1"/>
  <c r="BF290" i="1" s="1"/>
  <c r="BD289" i="1"/>
  <c r="BG289" i="1" s="1"/>
  <c r="AE289" i="1"/>
  <c r="BC289" i="1" s="1"/>
  <c r="BD288" i="1"/>
  <c r="BG288" i="1" s="1"/>
  <c r="BC288" i="1"/>
  <c r="BF288" i="1" s="1"/>
  <c r="BD287" i="1"/>
  <c r="BC287" i="1"/>
  <c r="BF287" i="1" s="1"/>
  <c r="BD286" i="1"/>
  <c r="BC286" i="1"/>
  <c r="BF286" i="1" s="1"/>
  <c r="BD285" i="1"/>
  <c r="BC285" i="1"/>
  <c r="BF285" i="1" s="1"/>
  <c r="BD284" i="1"/>
  <c r="BC284" i="1"/>
  <c r="BF284" i="1" s="1"/>
  <c r="BD283" i="1"/>
  <c r="BC283" i="1"/>
  <c r="BF283" i="1" s="1"/>
  <c r="BD282" i="1"/>
  <c r="BG282" i="1" s="1"/>
  <c r="BC282" i="1"/>
  <c r="BF282" i="1" s="1"/>
  <c r="BD281" i="1"/>
  <c r="BG281" i="1" s="1"/>
  <c r="BC281" i="1"/>
  <c r="BF281" i="1" s="1"/>
  <c r="BD280" i="1"/>
  <c r="BG280" i="1" s="1"/>
  <c r="BC280" i="1"/>
  <c r="BF280" i="1" s="1"/>
  <c r="BC279" i="1"/>
  <c r="BF279" i="1" s="1"/>
  <c r="AZ279" i="1"/>
  <c r="BD279" i="1" s="1"/>
  <c r="BG279" i="1" s="1"/>
  <c r="BD278" i="1"/>
  <c r="BG278" i="1" s="1"/>
  <c r="BC278" i="1"/>
  <c r="BD277" i="1"/>
  <c r="BG277" i="1" s="1"/>
  <c r="BC277" i="1"/>
  <c r="BF277" i="1" s="1"/>
  <c r="BD276" i="1"/>
  <c r="BG276" i="1" s="1"/>
  <c r="BC276" i="1"/>
  <c r="BD275" i="1"/>
  <c r="BG275" i="1" s="1"/>
  <c r="BC275" i="1"/>
  <c r="BD274" i="1"/>
  <c r="BG274" i="1" s="1"/>
  <c r="BC274" i="1"/>
  <c r="BD273" i="1"/>
  <c r="BG273" i="1" s="1"/>
  <c r="BC273" i="1"/>
  <c r="BF273" i="1" s="1"/>
  <c r="BD272" i="1"/>
  <c r="BG272" i="1" s="1"/>
  <c r="BC272" i="1"/>
  <c r="BF272" i="1" s="1"/>
  <c r="BD271" i="1"/>
  <c r="BG271" i="1" s="1"/>
  <c r="BC271" i="1"/>
  <c r="BG270" i="1"/>
  <c r="BD270" i="1"/>
  <c r="BC270" i="1"/>
  <c r="BD269" i="1"/>
  <c r="BG269" i="1" s="1"/>
  <c r="BC269" i="1"/>
  <c r="BF269" i="1" s="1"/>
  <c r="BD268" i="1"/>
  <c r="BG268" i="1" s="1"/>
  <c r="BC268" i="1"/>
  <c r="BD267" i="1"/>
  <c r="BG267" i="1" s="1"/>
  <c r="BC267" i="1"/>
  <c r="BD266" i="1"/>
  <c r="BG266" i="1" s="1"/>
  <c r="BC266" i="1"/>
  <c r="BD265" i="1"/>
  <c r="BG265" i="1" s="1"/>
  <c r="BC265" i="1"/>
  <c r="BD264" i="1"/>
  <c r="BG264" i="1" s="1"/>
  <c r="BC264" i="1"/>
  <c r="BD263" i="1"/>
  <c r="BG263" i="1" s="1"/>
  <c r="BC263" i="1"/>
  <c r="BF263" i="1" s="1"/>
  <c r="BD262" i="1"/>
  <c r="BG262" i="1" s="1"/>
  <c r="BC262" i="1"/>
  <c r="BF262" i="1" s="1"/>
  <c r="BD261" i="1"/>
  <c r="BG261" i="1" s="1"/>
  <c r="BC261" i="1"/>
  <c r="BF261" i="1" s="1"/>
  <c r="BD260" i="1"/>
  <c r="BG260" i="1" s="1"/>
  <c r="BC260" i="1"/>
  <c r="BD259" i="1"/>
  <c r="BG259" i="1" s="1"/>
  <c r="BC259" i="1"/>
  <c r="BD258" i="1"/>
  <c r="BG258" i="1" s="1"/>
  <c r="BC258" i="1"/>
  <c r="BG257" i="1"/>
  <c r="BC257" i="1"/>
  <c r="BF257" i="1" s="1"/>
  <c r="AT257" i="1"/>
  <c r="AR257" i="1"/>
  <c r="BD256" i="1"/>
  <c r="BG256" i="1" s="1"/>
  <c r="BC256" i="1"/>
  <c r="AT255" i="1"/>
  <c r="BD255" i="1" s="1"/>
  <c r="BG255" i="1" s="1"/>
  <c r="AS255" i="1"/>
  <c r="BC255" i="1" s="1"/>
  <c r="BD254" i="1"/>
  <c r="BG254" i="1" s="1"/>
  <c r="BC254" i="1"/>
  <c r="BF254" i="1" s="1"/>
  <c r="BD253" i="1"/>
  <c r="BG253" i="1" s="1"/>
  <c r="BC253" i="1"/>
  <c r="BF253" i="1" s="1"/>
  <c r="BC252" i="1"/>
  <c r="AT252" i="1"/>
  <c r="BD252" i="1" s="1"/>
  <c r="BG252" i="1" s="1"/>
  <c r="BD251" i="1"/>
  <c r="BG251" i="1" s="1"/>
  <c r="BC251" i="1"/>
  <c r="BF251" i="1" s="1"/>
  <c r="BD250" i="1"/>
  <c r="BG250" i="1" s="1"/>
  <c r="BC250" i="1"/>
  <c r="BF250" i="1" s="1"/>
  <c r="BD249" i="1"/>
  <c r="BG249" i="1" s="1"/>
  <c r="BC249" i="1"/>
  <c r="BD248" i="1"/>
  <c r="BG248" i="1" s="1"/>
  <c r="BC248" i="1"/>
  <c r="BD247" i="1"/>
  <c r="BG247" i="1" s="1"/>
  <c r="BC247" i="1"/>
  <c r="BF247" i="1" s="1"/>
  <c r="BD246" i="1"/>
  <c r="BG246" i="1" s="1"/>
  <c r="BC246" i="1"/>
  <c r="BF246" i="1" s="1"/>
  <c r="BD245" i="1"/>
  <c r="BG245" i="1" s="1"/>
  <c r="BC245" i="1"/>
  <c r="BF245" i="1" s="1"/>
  <c r="BD244" i="1"/>
  <c r="BG244" i="1" s="1"/>
  <c r="BC244" i="1"/>
  <c r="BF244" i="1" s="1"/>
  <c r="BC243" i="1"/>
  <c r="BF243" i="1" s="1"/>
  <c r="AZ243" i="1"/>
  <c r="BD243" i="1" s="1"/>
  <c r="BG243" i="1" s="1"/>
  <c r="BD242" i="1"/>
  <c r="BG242" i="1" s="1"/>
  <c r="BC242" i="1"/>
  <c r="BF242" i="1" s="1"/>
  <c r="BD241" i="1"/>
  <c r="BG241" i="1" s="1"/>
  <c r="BC241" i="1"/>
  <c r="BF241" i="1" s="1"/>
  <c r="BD240" i="1"/>
  <c r="BG240" i="1" s="1"/>
  <c r="BC240" i="1"/>
  <c r="BD239" i="1"/>
  <c r="BG239" i="1" s="1"/>
  <c r="BC239" i="1"/>
  <c r="BC238" i="1"/>
  <c r="BF238" i="1" s="1"/>
  <c r="AZ238" i="1"/>
  <c r="BD238" i="1" s="1"/>
  <c r="BG238" i="1" s="1"/>
  <c r="BC237" i="1"/>
  <c r="BF237" i="1" s="1"/>
  <c r="AZ237" i="1"/>
  <c r="BD237" i="1" s="1"/>
  <c r="BG237" i="1" s="1"/>
  <c r="BD236" i="1"/>
  <c r="BG236" i="1" s="1"/>
  <c r="BC236" i="1"/>
  <c r="BF236" i="1" s="1"/>
  <c r="BD235" i="1"/>
  <c r="BG235" i="1" s="1"/>
  <c r="BC235" i="1"/>
  <c r="BF235" i="1" s="1"/>
  <c r="BD234" i="1"/>
  <c r="BG234" i="1" s="1"/>
  <c r="BC234" i="1"/>
  <c r="BF234" i="1" s="1"/>
  <c r="BD233" i="1"/>
  <c r="BG233" i="1" s="1"/>
  <c r="BC233" i="1"/>
  <c r="BD232" i="1"/>
  <c r="BG232" i="1" s="1"/>
  <c r="BC232" i="1"/>
  <c r="BD231" i="1"/>
  <c r="BG231" i="1" s="1"/>
  <c r="BC231" i="1"/>
  <c r="BD230" i="1"/>
  <c r="BG230" i="1" s="1"/>
  <c r="BC230" i="1"/>
  <c r="BF230" i="1" s="1"/>
  <c r="BD229" i="1"/>
  <c r="BG229" i="1" s="1"/>
  <c r="BC229" i="1"/>
  <c r="BD228" i="1"/>
  <c r="BG228" i="1" s="1"/>
  <c r="BC228" i="1"/>
  <c r="BD227" i="1"/>
  <c r="BG227" i="1" s="1"/>
  <c r="BC227" i="1"/>
  <c r="BD226" i="1"/>
  <c r="BG226" i="1" s="1"/>
  <c r="BC226" i="1"/>
  <c r="BD225" i="1"/>
  <c r="BG225" i="1" s="1"/>
  <c r="BC225" i="1"/>
  <c r="BF225" i="1" s="1"/>
  <c r="BD224" i="1"/>
  <c r="BG224" i="1" s="1"/>
  <c r="BC224" i="1"/>
  <c r="BF224" i="1" s="1"/>
  <c r="BD223" i="1"/>
  <c r="BG223" i="1" s="1"/>
  <c r="BC223" i="1"/>
  <c r="BF223" i="1" s="1"/>
  <c r="BD222" i="1"/>
  <c r="BG222" i="1" s="1"/>
  <c r="BC222" i="1"/>
  <c r="BF222" i="1" s="1"/>
  <c r="BD221" i="1"/>
  <c r="BG221" i="1" s="1"/>
  <c r="BC221" i="1"/>
  <c r="BF221" i="1" s="1"/>
  <c r="BD220" i="1"/>
  <c r="BG220" i="1" s="1"/>
  <c r="BC220" i="1"/>
  <c r="BF220" i="1" s="1"/>
  <c r="BD219" i="1"/>
  <c r="BG219" i="1" s="1"/>
  <c r="BC219" i="1"/>
  <c r="BF219" i="1" s="1"/>
  <c r="BD218" i="1"/>
  <c r="BG218" i="1" s="1"/>
  <c r="BC218" i="1"/>
  <c r="BD217" i="1"/>
  <c r="BG217" i="1" s="1"/>
  <c r="BC217" i="1"/>
  <c r="BF217" i="1" s="1"/>
  <c r="BD216" i="1"/>
  <c r="BG216" i="1" s="1"/>
  <c r="BC216" i="1"/>
  <c r="BF216" i="1" s="1"/>
  <c r="BD215" i="1"/>
  <c r="BG215" i="1" s="1"/>
  <c r="BC215" i="1"/>
  <c r="BF215" i="1" s="1"/>
  <c r="BD214" i="1"/>
  <c r="BG214" i="1" s="1"/>
  <c r="BC214" i="1"/>
  <c r="BD213" i="1"/>
  <c r="BG213" i="1" s="1"/>
  <c r="BC213" i="1"/>
  <c r="BF213" i="1" s="1"/>
  <c r="BD212" i="1"/>
  <c r="BG212" i="1" s="1"/>
  <c r="BC212" i="1"/>
  <c r="BF212" i="1" s="1"/>
  <c r="BD211" i="1"/>
  <c r="BG211" i="1" s="1"/>
  <c r="BC211" i="1"/>
  <c r="BF211" i="1" s="1"/>
  <c r="BD210" i="1"/>
  <c r="BG210" i="1" s="1"/>
  <c r="BC210" i="1"/>
  <c r="BF210" i="1" s="1"/>
  <c r="BD209" i="1"/>
  <c r="BG209" i="1" s="1"/>
  <c r="BC209" i="1"/>
  <c r="BD208" i="1"/>
  <c r="BG208" i="1" s="1"/>
  <c r="BC208" i="1"/>
  <c r="BF208" i="1" s="1"/>
  <c r="BD207" i="1"/>
  <c r="BG207" i="1" s="1"/>
  <c r="BC207" i="1"/>
  <c r="BF207" i="1" s="1"/>
  <c r="BD206" i="1"/>
  <c r="BG206" i="1" s="1"/>
  <c r="BC206" i="1"/>
  <c r="BF206" i="1" s="1"/>
  <c r="BD205" i="1"/>
  <c r="BG205" i="1" s="1"/>
  <c r="BC205" i="1"/>
  <c r="BF205" i="1" s="1"/>
  <c r="BD204" i="1"/>
  <c r="BG204" i="1" s="1"/>
  <c r="BC204" i="1"/>
  <c r="BF204" i="1" s="1"/>
  <c r="BD203" i="1"/>
  <c r="BG203" i="1" s="1"/>
  <c r="BC203" i="1"/>
  <c r="BF203" i="1" s="1"/>
  <c r="BD202" i="1"/>
  <c r="BG202" i="1" s="1"/>
  <c r="AW202" i="1"/>
  <c r="BC202" i="1" s="1"/>
  <c r="BC201" i="1"/>
  <c r="BF201" i="1" s="1"/>
  <c r="AZ201" i="1"/>
  <c r="BD201" i="1" s="1"/>
  <c r="BG201" i="1" s="1"/>
  <c r="BD200" i="1"/>
  <c r="BG200" i="1" s="1"/>
  <c r="BC200" i="1"/>
  <c r="BD199" i="1"/>
  <c r="BG199" i="1" s="1"/>
  <c r="BC199" i="1"/>
  <c r="BF199" i="1" s="1"/>
  <c r="BD198" i="1"/>
  <c r="BG198" i="1" s="1"/>
  <c r="BC198" i="1"/>
  <c r="BC197" i="1"/>
  <c r="BF197" i="1" s="1"/>
  <c r="AZ197" i="1"/>
  <c r="BD197" i="1" s="1"/>
  <c r="BG197" i="1" s="1"/>
  <c r="BC196" i="1"/>
  <c r="BF196" i="1" s="1"/>
  <c r="AZ196" i="1"/>
  <c r="BD196" i="1" s="1"/>
  <c r="BC195" i="1"/>
  <c r="AZ195" i="1"/>
  <c r="BD195" i="1" s="1"/>
  <c r="BG195" i="1" s="1"/>
  <c r="BD194" i="1"/>
  <c r="BG194" i="1" s="1"/>
  <c r="BC194" i="1"/>
  <c r="BF194" i="1" s="1"/>
  <c r="BD193" i="1"/>
  <c r="BG193" i="1" s="1"/>
  <c r="BC193" i="1"/>
  <c r="BF193" i="1" s="1"/>
  <c r="BD192" i="1"/>
  <c r="BC192" i="1"/>
  <c r="BF192" i="1" s="1"/>
  <c r="BD191" i="1"/>
  <c r="BG191" i="1" s="1"/>
  <c r="BC191" i="1"/>
  <c r="BF191" i="1" s="1"/>
  <c r="BD190" i="1"/>
  <c r="BG190" i="1" s="1"/>
  <c r="BC190" i="1"/>
  <c r="BF190" i="1" s="1"/>
  <c r="BD189" i="1"/>
  <c r="BG189" i="1" s="1"/>
  <c r="BC189" i="1"/>
  <c r="BD188" i="1"/>
  <c r="BG188" i="1" s="1"/>
  <c r="BC188" i="1"/>
  <c r="BC187" i="1"/>
  <c r="BF187" i="1" s="1"/>
  <c r="AZ187" i="1"/>
  <c r="BD187" i="1" s="1"/>
  <c r="BG187" i="1" s="1"/>
  <c r="BD186" i="1"/>
  <c r="BC186" i="1"/>
  <c r="BF186" i="1" s="1"/>
  <c r="BD185" i="1"/>
  <c r="BG185" i="1" s="1"/>
  <c r="BC185" i="1"/>
  <c r="BF185" i="1" s="1"/>
  <c r="BC184" i="1"/>
  <c r="BF184" i="1" s="1"/>
  <c r="AZ184" i="1"/>
  <c r="BD184" i="1" s="1"/>
  <c r="BG184" i="1" s="1"/>
  <c r="BD183" i="1"/>
  <c r="BG183" i="1" s="1"/>
  <c r="BC183" i="1"/>
  <c r="BC182" i="1"/>
  <c r="BF182" i="1" s="1"/>
  <c r="AZ182" i="1"/>
  <c r="BD182" i="1" s="1"/>
  <c r="BG182" i="1" s="1"/>
  <c r="BD181" i="1"/>
  <c r="BG181" i="1" s="1"/>
  <c r="BC181" i="1"/>
  <c r="BD180" i="1"/>
  <c r="BG180" i="1" s="1"/>
  <c r="BC180" i="1"/>
  <c r="BF180" i="1" s="1"/>
  <c r="BC179" i="1"/>
  <c r="BF179" i="1" s="1"/>
  <c r="AZ179" i="1"/>
  <c r="BD179" i="1" s="1"/>
  <c r="BG179" i="1" s="1"/>
  <c r="BD178" i="1"/>
  <c r="BG178" i="1" s="1"/>
  <c r="BC178" i="1"/>
  <c r="BC177" i="1"/>
  <c r="BF177" i="1" s="1"/>
  <c r="AZ177" i="1"/>
  <c r="BD177" i="1" s="1"/>
  <c r="BD176" i="1"/>
  <c r="BG176" i="1" s="1"/>
  <c r="BC176" i="1"/>
  <c r="BF176" i="1" s="1"/>
  <c r="BD175" i="1"/>
  <c r="BG175" i="1" s="1"/>
  <c r="BC175" i="1"/>
  <c r="BF175" i="1" s="1"/>
  <c r="BD174" i="1"/>
  <c r="BG174" i="1" s="1"/>
  <c r="BC174" i="1"/>
  <c r="BD173" i="1"/>
  <c r="BG173" i="1" s="1"/>
  <c r="BC173" i="1"/>
  <c r="BF173" i="1" s="1"/>
  <c r="BD172" i="1"/>
  <c r="BG172" i="1" s="1"/>
  <c r="BC172" i="1"/>
  <c r="BF172" i="1" s="1"/>
  <c r="BD171" i="1"/>
  <c r="BG171" i="1" s="1"/>
  <c r="BC171" i="1"/>
  <c r="BF171" i="1" s="1"/>
  <c r="BD170" i="1"/>
  <c r="BG170" i="1" s="1"/>
  <c r="BC170" i="1"/>
  <c r="BD169" i="1"/>
  <c r="BG169" i="1" s="1"/>
  <c r="BC169" i="1"/>
  <c r="BD168" i="1"/>
  <c r="BG168" i="1" s="1"/>
  <c r="BC168" i="1"/>
  <c r="BF168" i="1" s="1"/>
  <c r="BD167" i="1"/>
  <c r="BG167" i="1" s="1"/>
  <c r="BC167" i="1"/>
  <c r="BF167" i="1" s="1"/>
  <c r="BD166" i="1"/>
  <c r="BG166" i="1" s="1"/>
  <c r="BC166" i="1"/>
  <c r="BF166" i="1" s="1"/>
  <c r="BD165" i="1"/>
  <c r="BG165" i="1" s="1"/>
  <c r="BC165" i="1"/>
  <c r="BF165" i="1" s="1"/>
  <c r="BD164" i="1"/>
  <c r="BG164" i="1" s="1"/>
  <c r="BC164" i="1"/>
  <c r="BF164" i="1" s="1"/>
  <c r="BD163" i="1"/>
  <c r="BG163" i="1" s="1"/>
  <c r="BC163" i="1"/>
  <c r="BF163" i="1" s="1"/>
  <c r="BD162" i="1"/>
  <c r="BG162" i="1" s="1"/>
  <c r="BC162" i="1"/>
  <c r="BF162" i="1" s="1"/>
  <c r="BD161" i="1"/>
  <c r="BG161" i="1" s="1"/>
  <c r="BC161" i="1"/>
  <c r="BF161" i="1" s="1"/>
  <c r="BD160" i="1"/>
  <c r="BG160" i="1" s="1"/>
  <c r="BC160" i="1"/>
  <c r="BF160" i="1" s="1"/>
  <c r="BD159" i="1"/>
  <c r="BG159" i="1" s="1"/>
  <c r="BC159" i="1"/>
  <c r="BD158" i="1"/>
  <c r="BG158" i="1" s="1"/>
  <c r="BC158" i="1"/>
  <c r="BD157" i="1"/>
  <c r="BG157" i="1" s="1"/>
  <c r="BC157" i="1"/>
  <c r="BD156" i="1"/>
  <c r="BG156" i="1" s="1"/>
  <c r="BC156" i="1"/>
  <c r="BF156" i="1" s="1"/>
  <c r="BD155" i="1"/>
  <c r="BC155" i="1"/>
  <c r="BF155" i="1" s="1"/>
  <c r="BD154" i="1"/>
  <c r="BG154" i="1" s="1"/>
  <c r="BC154" i="1"/>
  <c r="BD153" i="1"/>
  <c r="BG153" i="1" s="1"/>
  <c r="BC153" i="1"/>
  <c r="BD152" i="1"/>
  <c r="BG152" i="1" s="1"/>
  <c r="BC152" i="1"/>
  <c r="BD151" i="1"/>
  <c r="BG151" i="1" s="1"/>
  <c r="BC151" i="1"/>
  <c r="BF151" i="1" s="1"/>
  <c r="BD150" i="1"/>
  <c r="BG150" i="1" s="1"/>
  <c r="BC150" i="1"/>
  <c r="BF150" i="1" s="1"/>
  <c r="BD149" i="1"/>
  <c r="BG149" i="1" s="1"/>
  <c r="BC149" i="1"/>
  <c r="BD148" i="1"/>
  <c r="BG148" i="1" s="1"/>
  <c r="BC148" i="1"/>
  <c r="BD147" i="1"/>
  <c r="BG147" i="1" s="1"/>
  <c r="BC147" i="1"/>
  <c r="BD146" i="1"/>
  <c r="BG146" i="1" s="1"/>
  <c r="BC146" i="1"/>
  <c r="BD145" i="1"/>
  <c r="BG145" i="1" s="1"/>
  <c r="BC145" i="1"/>
  <c r="BD144" i="1"/>
  <c r="BG144" i="1" s="1"/>
  <c r="BC144" i="1"/>
  <c r="BD143" i="1"/>
  <c r="BG143" i="1" s="1"/>
  <c r="BC143" i="1"/>
  <c r="BD142" i="1"/>
  <c r="BG142" i="1" s="1"/>
  <c r="BC142" i="1"/>
  <c r="BD141" i="1"/>
  <c r="BG141" i="1" s="1"/>
  <c r="BC141" i="1"/>
  <c r="BD140" i="1"/>
  <c r="BG140" i="1" s="1"/>
  <c r="BC140" i="1"/>
  <c r="BD139" i="1"/>
  <c r="BG139" i="1" s="1"/>
  <c r="BC139" i="1"/>
  <c r="BD138" i="1"/>
  <c r="BG138" i="1" s="1"/>
  <c r="BC138" i="1"/>
  <c r="BF138" i="1" s="1"/>
  <c r="BD137" i="1"/>
  <c r="BG137" i="1" s="1"/>
  <c r="BC137" i="1"/>
  <c r="BF137" i="1" s="1"/>
  <c r="BD136" i="1"/>
  <c r="BG136" i="1" s="1"/>
  <c r="BC136" i="1"/>
  <c r="BF136" i="1" s="1"/>
  <c r="BD135" i="1"/>
  <c r="BG135" i="1" s="1"/>
  <c r="BC135" i="1"/>
  <c r="BF135" i="1" s="1"/>
  <c r="BD134" i="1"/>
  <c r="BG134" i="1" s="1"/>
  <c r="BC134" i="1"/>
  <c r="BF134" i="1" s="1"/>
  <c r="BD133" i="1"/>
  <c r="BG133" i="1" s="1"/>
  <c r="BC133" i="1"/>
  <c r="BF133" i="1" s="1"/>
  <c r="BD132" i="1"/>
  <c r="BG132" i="1" s="1"/>
  <c r="BC132" i="1"/>
  <c r="BF132" i="1" s="1"/>
  <c r="BD131" i="1"/>
  <c r="BG131" i="1" s="1"/>
  <c r="BC131" i="1"/>
  <c r="BF131" i="1" s="1"/>
  <c r="BD130" i="1"/>
  <c r="BG130" i="1" s="1"/>
  <c r="BC130" i="1"/>
  <c r="BF130" i="1" s="1"/>
  <c r="BD129" i="1"/>
  <c r="BG129" i="1" s="1"/>
  <c r="BC129" i="1"/>
  <c r="BF129" i="1" s="1"/>
  <c r="BD128" i="1"/>
  <c r="BG128" i="1" s="1"/>
  <c r="BC128" i="1"/>
  <c r="BF128" i="1" s="1"/>
  <c r="BD127" i="1"/>
  <c r="BG127" i="1" s="1"/>
  <c r="BC127" i="1"/>
  <c r="BF127" i="1" s="1"/>
  <c r="BD126" i="1"/>
  <c r="BG126" i="1" s="1"/>
  <c r="BC126" i="1"/>
  <c r="BF126" i="1" s="1"/>
  <c r="BD125" i="1"/>
  <c r="BG125" i="1" s="1"/>
  <c r="BC125" i="1"/>
  <c r="BD124" i="1"/>
  <c r="BG124" i="1" s="1"/>
  <c r="BC124" i="1"/>
  <c r="BD123" i="1"/>
  <c r="BG123" i="1" s="1"/>
  <c r="BC123" i="1"/>
  <c r="BD122" i="1"/>
  <c r="BG122" i="1" s="1"/>
  <c r="BC122" i="1"/>
  <c r="BF122" i="1" s="1"/>
  <c r="BD121" i="1"/>
  <c r="BG121" i="1" s="1"/>
  <c r="BC121" i="1"/>
  <c r="BF121" i="1" s="1"/>
  <c r="BD120" i="1"/>
  <c r="BG120" i="1" s="1"/>
  <c r="BC120" i="1"/>
  <c r="BD119" i="1"/>
  <c r="BG119" i="1" s="1"/>
  <c r="BC119" i="1"/>
  <c r="BC118" i="1"/>
  <c r="AT118" i="1"/>
  <c r="BD118" i="1" s="1"/>
  <c r="BG118" i="1" s="1"/>
  <c r="BD117" i="1"/>
  <c r="BG117" i="1" s="1"/>
  <c r="BC117" i="1"/>
  <c r="BD116" i="1"/>
  <c r="BG116" i="1" s="1"/>
  <c r="BC116" i="1"/>
  <c r="BD115" i="1"/>
  <c r="BG115" i="1" s="1"/>
  <c r="BC115" i="1"/>
  <c r="BD114" i="1"/>
  <c r="BG114" i="1" s="1"/>
  <c r="BC114" i="1"/>
  <c r="BF114" i="1" s="1"/>
  <c r="BC113" i="1"/>
  <c r="BF113" i="1" s="1"/>
  <c r="AL113" i="1"/>
  <c r="BD113" i="1" s="1"/>
  <c r="BG113" i="1" s="1"/>
  <c r="BD112" i="1"/>
  <c r="BG112" i="1" s="1"/>
  <c r="BC112" i="1"/>
  <c r="BD111" i="1"/>
  <c r="BG111" i="1" s="1"/>
  <c r="BC111" i="1"/>
  <c r="BF111" i="1" s="1"/>
  <c r="BD110" i="1"/>
  <c r="BG110" i="1" s="1"/>
  <c r="BC110" i="1"/>
  <c r="BF110" i="1" s="1"/>
  <c r="BD109" i="1"/>
  <c r="BG109" i="1" s="1"/>
  <c r="BC109" i="1"/>
  <c r="BF109" i="1" s="1"/>
  <c r="BD108" i="1"/>
  <c r="BG108" i="1" s="1"/>
  <c r="BC108" i="1"/>
  <c r="BF108" i="1" s="1"/>
  <c r="BD107" i="1"/>
  <c r="BG107" i="1" s="1"/>
  <c r="BC107" i="1"/>
  <c r="BF107" i="1" s="1"/>
  <c r="BD106" i="1"/>
  <c r="BG106" i="1" s="1"/>
  <c r="BC106" i="1"/>
  <c r="BC105" i="1"/>
  <c r="AZ105" i="1"/>
  <c r="BD105" i="1" s="1"/>
  <c r="BG105" i="1" s="1"/>
  <c r="BD104" i="1"/>
  <c r="BG104" i="1" s="1"/>
  <c r="BC104" i="1"/>
  <c r="BF104" i="1" s="1"/>
  <c r="BD103" i="1"/>
  <c r="BG103" i="1" s="1"/>
  <c r="BC103" i="1"/>
  <c r="BF103" i="1" s="1"/>
  <c r="BD102" i="1"/>
  <c r="BG102" i="1" s="1"/>
  <c r="BC102" i="1"/>
  <c r="BF102" i="1" s="1"/>
  <c r="BD101" i="1"/>
  <c r="BG101" i="1" s="1"/>
  <c r="BC101" i="1"/>
  <c r="BF101" i="1" s="1"/>
  <c r="AZ100" i="1"/>
  <c r="BD100" i="1" s="1"/>
  <c r="BG100" i="1" s="1"/>
  <c r="AU100" i="1"/>
  <c r="BC100" i="1" s="1"/>
  <c r="BC99" i="1"/>
  <c r="AZ99" i="1"/>
  <c r="BD99" i="1" s="1"/>
  <c r="BG99" i="1" s="1"/>
  <c r="BC98" i="1"/>
  <c r="BF98" i="1" s="1"/>
  <c r="AZ98" i="1"/>
  <c r="BD98" i="1" s="1"/>
  <c r="BG98" i="1" s="1"/>
  <c r="AZ97" i="1"/>
  <c r="AV97" i="1"/>
  <c r="AU97" i="1"/>
  <c r="BC97" i="1" s="1"/>
  <c r="BF97" i="1" s="1"/>
  <c r="BC96" i="1"/>
  <c r="BF96" i="1" s="1"/>
  <c r="AZ96" i="1"/>
  <c r="BD96" i="1" s="1"/>
  <c r="BG96" i="1" s="1"/>
  <c r="AZ95" i="1"/>
  <c r="AU95" i="1"/>
  <c r="BC95" i="1" s="1"/>
  <c r="AT95" i="1"/>
  <c r="BC94" i="1"/>
  <c r="AZ94" i="1"/>
  <c r="BD94" i="1" s="1"/>
  <c r="BG94" i="1" s="1"/>
  <c r="BC93" i="1"/>
  <c r="BF93" i="1" s="1"/>
  <c r="AZ93" i="1"/>
  <c r="BD93" i="1" s="1"/>
  <c r="BG93" i="1" s="1"/>
  <c r="BC92" i="1"/>
  <c r="AZ92" i="1"/>
  <c r="BD92" i="1" s="1"/>
  <c r="BG92" i="1" s="1"/>
  <c r="BC91" i="1"/>
  <c r="BF91" i="1" s="1"/>
  <c r="AZ91" i="1"/>
  <c r="BD91" i="1" s="1"/>
  <c r="BG91" i="1" s="1"/>
  <c r="BD90" i="1"/>
  <c r="BG90" i="1" s="1"/>
  <c r="BC90" i="1"/>
  <c r="BF90" i="1" s="1"/>
  <c r="BD89" i="1"/>
  <c r="BG89" i="1" s="1"/>
  <c r="BC89" i="1"/>
  <c r="BD88" i="1"/>
  <c r="BG88" i="1" s="1"/>
  <c r="BC88" i="1"/>
  <c r="BF88" i="1" s="1"/>
  <c r="BC87" i="1"/>
  <c r="AZ87" i="1"/>
  <c r="AX87" i="1"/>
  <c r="BC86" i="1"/>
  <c r="AZ86" i="1"/>
  <c r="BD86" i="1" s="1"/>
  <c r="BG86" i="1" s="1"/>
  <c r="BC85" i="1"/>
  <c r="AV85" i="1"/>
  <c r="AT85" i="1"/>
  <c r="BD84" i="1"/>
  <c r="BG84" i="1" s="1"/>
  <c r="BC84" i="1"/>
  <c r="BD83" i="1"/>
  <c r="BG83" i="1" s="1"/>
  <c r="BC83" i="1"/>
  <c r="BD82" i="1"/>
  <c r="BG82" i="1" s="1"/>
  <c r="BC82" i="1"/>
  <c r="BF82" i="1" s="1"/>
  <c r="BD81" i="1"/>
  <c r="BG81" i="1" s="1"/>
  <c r="BC81" i="1"/>
  <c r="BF81" i="1" s="1"/>
  <c r="BD80" i="1"/>
  <c r="BG80" i="1" s="1"/>
  <c r="BC80" i="1"/>
  <c r="BD79" i="1"/>
  <c r="BG79" i="1" s="1"/>
  <c r="BC79" i="1"/>
  <c r="BD78" i="1"/>
  <c r="BG78" i="1" s="1"/>
  <c r="BC78" i="1"/>
  <c r="BF78" i="1" s="1"/>
  <c r="BD77" i="1"/>
  <c r="BG77" i="1" s="1"/>
  <c r="BC77" i="1"/>
  <c r="BF77" i="1" s="1"/>
  <c r="BD76" i="1"/>
  <c r="BG76" i="1" s="1"/>
  <c r="BC76" i="1"/>
  <c r="BD75" i="1"/>
  <c r="BG75" i="1" s="1"/>
  <c r="BC75" i="1"/>
  <c r="BD74" i="1"/>
  <c r="BG74" i="1" s="1"/>
  <c r="BC74" i="1"/>
  <c r="BF74" i="1" s="1"/>
  <c r="BD73" i="1"/>
  <c r="BG73" i="1" s="1"/>
  <c r="BC73" i="1"/>
  <c r="BD72" i="1"/>
  <c r="BG72" i="1" s="1"/>
  <c r="BC72" i="1"/>
  <c r="BF72" i="1" s="1"/>
  <c r="BD71" i="1"/>
  <c r="BG71" i="1" s="1"/>
  <c r="BC71" i="1"/>
  <c r="BF71" i="1" s="1"/>
  <c r="BD70" i="1"/>
  <c r="BG70" i="1" s="1"/>
  <c r="BC70" i="1"/>
  <c r="BF70" i="1" s="1"/>
  <c r="BD69" i="1"/>
  <c r="BG69" i="1" s="1"/>
  <c r="BC69" i="1"/>
  <c r="BF69" i="1" s="1"/>
  <c r="BD68" i="1"/>
  <c r="BG68" i="1" s="1"/>
  <c r="BC68" i="1"/>
  <c r="BC67" i="1"/>
  <c r="AT67" i="1"/>
  <c r="BD67" i="1" s="1"/>
  <c r="BG67" i="1" s="1"/>
  <c r="BD66" i="1"/>
  <c r="BG66" i="1" s="1"/>
  <c r="BC66" i="1"/>
  <c r="BD65" i="1"/>
  <c r="BG65" i="1" s="1"/>
  <c r="BC65" i="1"/>
  <c r="BD64" i="1"/>
  <c r="BG64" i="1" s="1"/>
  <c r="BC64" i="1"/>
  <c r="BD63" i="1"/>
  <c r="BG63" i="1" s="1"/>
  <c r="BC63" i="1"/>
  <c r="BD62" i="1"/>
  <c r="BG62" i="1" s="1"/>
  <c r="BC62" i="1"/>
  <c r="BD61" i="1"/>
  <c r="BG61" i="1" s="1"/>
  <c r="BC61" i="1"/>
  <c r="BD60" i="1"/>
  <c r="BG60" i="1" s="1"/>
  <c r="BC60" i="1"/>
  <c r="BF60" i="1" s="1"/>
  <c r="BD59" i="1"/>
  <c r="BG59" i="1" s="1"/>
  <c r="BC59" i="1"/>
  <c r="BF59" i="1" s="1"/>
  <c r="BD58" i="1"/>
  <c r="BG58" i="1" s="1"/>
  <c r="BC58" i="1"/>
  <c r="BC57" i="1"/>
  <c r="AZ57" i="1"/>
  <c r="AV57" i="1"/>
  <c r="BD56" i="1"/>
  <c r="BG56" i="1" s="1"/>
  <c r="BC56" i="1"/>
  <c r="BD55" i="1"/>
  <c r="BG55" i="1" s="1"/>
  <c r="BC55" i="1"/>
  <c r="BD54" i="1"/>
  <c r="BG54" i="1" s="1"/>
  <c r="BC54" i="1"/>
  <c r="BD53" i="1"/>
  <c r="BG53" i="1" s="1"/>
  <c r="BC53" i="1"/>
  <c r="BD52" i="1"/>
  <c r="BG52" i="1" s="1"/>
  <c r="BC52" i="1"/>
  <c r="BF52" i="1" s="1"/>
  <c r="BD51" i="1"/>
  <c r="BG51" i="1" s="1"/>
  <c r="BC51" i="1"/>
  <c r="BF51" i="1" s="1"/>
  <c r="BD50" i="1"/>
  <c r="BG50" i="1" s="1"/>
  <c r="BC50" i="1"/>
  <c r="BF50" i="1" s="1"/>
  <c r="BD49" i="1"/>
  <c r="BG49" i="1" s="1"/>
  <c r="BC49" i="1"/>
  <c r="BD48" i="1"/>
  <c r="BG48" i="1" s="1"/>
  <c r="BC48" i="1"/>
  <c r="BF48" i="1" s="1"/>
  <c r="BD47" i="1"/>
  <c r="BG47" i="1" s="1"/>
  <c r="BC47" i="1"/>
  <c r="BF47" i="1" s="1"/>
  <c r="BD46" i="1"/>
  <c r="BG46" i="1" s="1"/>
  <c r="BC46" i="1"/>
  <c r="BF46" i="1" s="1"/>
  <c r="BD45" i="1"/>
  <c r="BG45" i="1" s="1"/>
  <c r="BC45" i="1"/>
  <c r="BC44" i="1"/>
  <c r="AX44" i="1"/>
  <c r="BD44" i="1" s="1"/>
  <c r="BG44" i="1" s="1"/>
  <c r="BD43" i="1"/>
  <c r="BG43" i="1" s="1"/>
  <c r="BC43" i="1"/>
  <c r="BD42" i="1"/>
  <c r="BG42" i="1" s="1"/>
  <c r="BC42" i="1"/>
  <c r="BD41" i="1"/>
  <c r="BG41" i="1" s="1"/>
  <c r="BC41" i="1"/>
  <c r="BF41" i="1" s="1"/>
  <c r="BD40" i="1"/>
  <c r="BG40" i="1" s="1"/>
  <c r="BC40" i="1"/>
  <c r="BF40" i="1" s="1"/>
  <c r="BD39" i="1"/>
  <c r="BG39" i="1" s="1"/>
  <c r="BC39" i="1"/>
  <c r="BD38" i="1"/>
  <c r="BG38" i="1" s="1"/>
  <c r="BC38" i="1"/>
  <c r="BF38" i="1" s="1"/>
  <c r="BD37" i="1"/>
  <c r="BG37" i="1" s="1"/>
  <c r="BC37" i="1"/>
  <c r="BD36" i="1"/>
  <c r="BC36" i="1"/>
  <c r="BF36" i="1" s="1"/>
  <c r="BD35" i="1"/>
  <c r="BC35" i="1"/>
  <c r="BF35" i="1" s="1"/>
  <c r="BC34" i="1"/>
  <c r="BF34" i="1" s="1"/>
  <c r="AZ34" i="1"/>
  <c r="BD34" i="1" s="1"/>
  <c r="BD33" i="1"/>
  <c r="BG33" i="1" s="1"/>
  <c r="BC33" i="1"/>
  <c r="BD32" i="1"/>
  <c r="BG32" i="1" s="1"/>
  <c r="BC32" i="1"/>
  <c r="BC31" i="1"/>
  <c r="BF31" i="1" s="1"/>
  <c r="AZ31" i="1"/>
  <c r="BD31" i="1" s="1"/>
  <c r="BC30" i="1"/>
  <c r="BF30" i="1" s="1"/>
  <c r="AZ30" i="1"/>
  <c r="BD30" i="1" s="1"/>
  <c r="BG30" i="1" s="1"/>
  <c r="BD29" i="1"/>
  <c r="BG29" i="1" s="1"/>
  <c r="BC29" i="1"/>
  <c r="BD28" i="1"/>
  <c r="BG28" i="1" s="1"/>
  <c r="BC28" i="1"/>
  <c r="BD27" i="1"/>
  <c r="BG27" i="1" s="1"/>
  <c r="BC27" i="1"/>
  <c r="BD26" i="1"/>
  <c r="BG26" i="1" s="1"/>
  <c r="BC26" i="1"/>
  <c r="BD25" i="1"/>
  <c r="BG25" i="1" s="1"/>
  <c r="BC25" i="1"/>
  <c r="BD24" i="1"/>
  <c r="BC24" i="1"/>
  <c r="BF24" i="1" s="1"/>
  <c r="BD23" i="1"/>
  <c r="BC23" i="1"/>
  <c r="BF23" i="1" s="1"/>
  <c r="BD22" i="1"/>
  <c r="BC22" i="1"/>
  <c r="BF22" i="1" s="1"/>
  <c r="BC21" i="1"/>
  <c r="BF21" i="1" s="1"/>
  <c r="AZ21" i="1"/>
  <c r="BD21" i="1" s="1"/>
  <c r="BC20" i="1"/>
  <c r="BF20" i="1" s="1"/>
  <c r="AZ20" i="1"/>
  <c r="BD20" i="1" s="1"/>
  <c r="BD19" i="1"/>
  <c r="BG19" i="1" s="1"/>
  <c r="BC19" i="1"/>
  <c r="BD18" i="1"/>
  <c r="BC18" i="1"/>
  <c r="BF18" i="1" s="1"/>
  <c r="BD17" i="1"/>
  <c r="BG17" i="1" s="1"/>
  <c r="AG17" i="1"/>
  <c r="AC17" i="1"/>
  <c r="BD16" i="1"/>
  <c r="BG16" i="1" s="1"/>
  <c r="BC16" i="1"/>
  <c r="BD15" i="1"/>
  <c r="BG15" i="1" s="1"/>
  <c r="BC15" i="1"/>
  <c r="BF15" i="1" s="1"/>
  <c r="BD14" i="1"/>
  <c r="BG14" i="1" s="1"/>
  <c r="BC14" i="1"/>
  <c r="BD13" i="1"/>
  <c r="BG13" i="1" s="1"/>
  <c r="BC13" i="1"/>
  <c r="BD12" i="1"/>
  <c r="BG12" i="1" s="1"/>
  <c r="BC12" i="1"/>
  <c r="BF12" i="1" s="1"/>
  <c r="BC11" i="1"/>
  <c r="BF11" i="1" s="1"/>
  <c r="AX11" i="1"/>
  <c r="AR11" i="1"/>
  <c r="BC10" i="1"/>
  <c r="BF10" i="1" s="1"/>
  <c r="AX10" i="1"/>
  <c r="BD10" i="1" s="1"/>
  <c r="BD9" i="1"/>
  <c r="BG9" i="1" s="1"/>
  <c r="BC9" i="1"/>
  <c r="BF9" i="1" s="1"/>
  <c r="BD85" i="1" l="1"/>
  <c r="BG85" i="1" s="1"/>
  <c r="BE484" i="1"/>
  <c r="BD327" i="1"/>
  <c r="BG327" i="1" s="1"/>
  <c r="BF484" i="1"/>
  <c r="BE259" i="1"/>
  <c r="BE28" i="1"/>
  <c r="BE39" i="1"/>
  <c r="BD57" i="1"/>
  <c r="BG57" i="1" s="1"/>
  <c r="BE73" i="1"/>
  <c r="BE21" i="1"/>
  <c r="BE45" i="1"/>
  <c r="BE58" i="1"/>
  <c r="BE170" i="1"/>
  <c r="BE229" i="1"/>
  <c r="BE258" i="1"/>
  <c r="BE398" i="1"/>
  <c r="BE420" i="1"/>
  <c r="BE16" i="1"/>
  <c r="BE33" i="1"/>
  <c r="BF39" i="1"/>
  <c r="BE42" i="1"/>
  <c r="BE121" i="1"/>
  <c r="BE233" i="1"/>
  <c r="BD443" i="1"/>
  <c r="BG443" i="1" s="1"/>
  <c r="BE501" i="1"/>
  <c r="BG356" i="1"/>
  <c r="BE356" i="1"/>
  <c r="BF200" i="1"/>
  <c r="BE200" i="1"/>
  <c r="BE13" i="1"/>
  <c r="BE26" i="1"/>
  <c r="BE76" i="1"/>
  <c r="BE80" i="1"/>
  <c r="BE120" i="1"/>
  <c r="BE60" i="1"/>
  <c r="BE69" i="1"/>
  <c r="BE59" i="1"/>
  <c r="BE68" i="1"/>
  <c r="BE70" i="1"/>
  <c r="BE89" i="1"/>
  <c r="BE100" i="1"/>
  <c r="BE102" i="1"/>
  <c r="BE142" i="1"/>
  <c r="BE488" i="1"/>
  <c r="BF488" i="1"/>
  <c r="BE153" i="1"/>
  <c r="BE183" i="1"/>
  <c r="BE209" i="1"/>
  <c r="BE227" i="1"/>
  <c r="BE248" i="1"/>
  <c r="BE332" i="1"/>
  <c r="BE334" i="1"/>
  <c r="BD357" i="1"/>
  <c r="BG357" i="1" s="1"/>
  <c r="BE117" i="1"/>
  <c r="BE143" i="1"/>
  <c r="BF153" i="1"/>
  <c r="BE156" i="1"/>
  <c r="BF209" i="1"/>
  <c r="BF227" i="1"/>
  <c r="BF248" i="1"/>
  <c r="BE254" i="1"/>
  <c r="BE268" i="1"/>
  <c r="BE306" i="1"/>
  <c r="BE330" i="1"/>
  <c r="BF332" i="1"/>
  <c r="BE377" i="1"/>
  <c r="BE447" i="1"/>
  <c r="BE473" i="1"/>
  <c r="BE313" i="1"/>
  <c r="BF313" i="1"/>
  <c r="BF346" i="1"/>
  <c r="BE346" i="1"/>
  <c r="BE350" i="1"/>
  <c r="BF350" i="1"/>
  <c r="BF369" i="1"/>
  <c r="BE369" i="1"/>
  <c r="BF214" i="1"/>
  <c r="BE214" i="1"/>
  <c r="BF239" i="1"/>
  <c r="BE239" i="1"/>
  <c r="BE293" i="1"/>
  <c r="BE297" i="1"/>
  <c r="BF333" i="1"/>
  <c r="BE333" i="1"/>
  <c r="BE363" i="1"/>
  <c r="BE417" i="1"/>
  <c r="BF417" i="1"/>
  <c r="BF421" i="1"/>
  <c r="BE421" i="1"/>
  <c r="BE434" i="1"/>
  <c r="BF434" i="1"/>
  <c r="BF460" i="1"/>
  <c r="BE460" i="1"/>
  <c r="BE520" i="1"/>
  <c r="BF520" i="1"/>
  <c r="BF188" i="1"/>
  <c r="BE188" i="1"/>
  <c r="BE256" i="1"/>
  <c r="BF256" i="1"/>
  <c r="BF351" i="1"/>
  <c r="BE351" i="1"/>
  <c r="BE46" i="1"/>
  <c r="BE77" i="1"/>
  <c r="BF16" i="1"/>
  <c r="BE23" i="1"/>
  <c r="BF68" i="1"/>
  <c r="BE81" i="1"/>
  <c r="BF170" i="1"/>
  <c r="BF183" i="1"/>
  <c r="BE231" i="1"/>
  <c r="BF231" i="1"/>
  <c r="BE319" i="1"/>
  <c r="BF338" i="1"/>
  <c r="BE338" i="1"/>
  <c r="BD390" i="1"/>
  <c r="BG390" i="1" s="1"/>
  <c r="BF419" i="1"/>
  <c r="BE419" i="1"/>
  <c r="BE480" i="1"/>
  <c r="BF480" i="1"/>
  <c r="BF489" i="1"/>
  <c r="BE489" i="1"/>
  <c r="BE499" i="1"/>
  <c r="BF499" i="1"/>
  <c r="BF547" i="1"/>
  <c r="BE547" i="1"/>
  <c r="BE151" i="1"/>
  <c r="BE12" i="1"/>
  <c r="BE14" i="1"/>
  <c r="BE31" i="1"/>
  <c r="BE84" i="1"/>
  <c r="BE86" i="1"/>
  <c r="BE90" i="1"/>
  <c r="BE92" i="1"/>
  <c r="BE107" i="1"/>
  <c r="BE150" i="1"/>
  <c r="BE195" i="1"/>
  <c r="BF195" i="1"/>
  <c r="BF218" i="1"/>
  <c r="BE218" i="1"/>
  <c r="BE240" i="1"/>
  <c r="BF240" i="1"/>
  <c r="BF259" i="1"/>
  <c r="BF260" i="1"/>
  <c r="BE260" i="1"/>
  <c r="BE274" i="1"/>
  <c r="BF274" i="1"/>
  <c r="BE439" i="1"/>
  <c r="BE492" i="1"/>
  <c r="BF492" i="1"/>
  <c r="BF497" i="1"/>
  <c r="BE497" i="1"/>
  <c r="BE555" i="1"/>
  <c r="BF555" i="1"/>
  <c r="BD403" i="1"/>
  <c r="BG403" i="1" s="1"/>
  <c r="BD424" i="1"/>
  <c r="BG424" i="1" s="1"/>
  <c r="BF559" i="1"/>
  <c r="BE559" i="1"/>
  <c r="BE219" i="1"/>
  <c r="BE266" i="1"/>
  <c r="BE270" i="1"/>
  <c r="BE278" i="1"/>
  <c r="BE286" i="1"/>
  <c r="BE291" i="1"/>
  <c r="BE295" i="1"/>
  <c r="BE299" i="1"/>
  <c r="BD348" i="1"/>
  <c r="BG348" i="1" s="1"/>
  <c r="BE364" i="1"/>
  <c r="BF493" i="1"/>
  <c r="BE493" i="1"/>
  <c r="BF557" i="1"/>
  <c r="BE557" i="1"/>
  <c r="BD464" i="1"/>
  <c r="BG464" i="1" s="1"/>
  <c r="BD468" i="1"/>
  <c r="BG468" i="1" s="1"/>
  <c r="BD462" i="1"/>
  <c r="BG462" i="1" s="1"/>
  <c r="BE495" i="1"/>
  <c r="BE563" i="1"/>
  <c r="BE571" i="1"/>
  <c r="BF49" i="1"/>
  <c r="BE49" i="1"/>
  <c r="BE10" i="1"/>
  <c r="BF37" i="1"/>
  <c r="BE37" i="1"/>
  <c r="BE44" i="1"/>
  <c r="BF44" i="1"/>
  <c r="BF45" i="1"/>
  <c r="BE9" i="1"/>
  <c r="BD11" i="1"/>
  <c r="BG11" i="1" s="1"/>
  <c r="BE15" i="1"/>
  <c r="BE47" i="1"/>
  <c r="BE56" i="1"/>
  <c r="BF56" i="1"/>
  <c r="BE18" i="1"/>
  <c r="BE19" i="1"/>
  <c r="BE25" i="1"/>
  <c r="BE27" i="1"/>
  <c r="BE29" i="1"/>
  <c r="BE32" i="1"/>
  <c r="BE36" i="1"/>
  <c r="BF73" i="1"/>
  <c r="BF76" i="1"/>
  <c r="BF86" i="1"/>
  <c r="BE88" i="1"/>
  <c r="BF89" i="1"/>
  <c r="BF100" i="1"/>
  <c r="BE116" i="1"/>
  <c r="BF117" i="1"/>
  <c r="BE119" i="1"/>
  <c r="BF120" i="1"/>
  <c r="BF143" i="1"/>
  <c r="BE146" i="1"/>
  <c r="BF146" i="1"/>
  <c r="BF149" i="1"/>
  <c r="BE149" i="1"/>
  <c r="BG155" i="1"/>
  <c r="BE155" i="1"/>
  <c r="BF157" i="1"/>
  <c r="BE157" i="1"/>
  <c r="BF159" i="1"/>
  <c r="BE159" i="1"/>
  <c r="BG186" i="1"/>
  <c r="BE186" i="1"/>
  <c r="BE145" i="1"/>
  <c r="BF145" i="1"/>
  <c r="BF154" i="1"/>
  <c r="BE154" i="1"/>
  <c r="BF169" i="1"/>
  <c r="BE169" i="1"/>
  <c r="BF189" i="1"/>
  <c r="BE189" i="1"/>
  <c r="BE71" i="1"/>
  <c r="BE72" i="1"/>
  <c r="BE108" i="1"/>
  <c r="BE109" i="1"/>
  <c r="BE127" i="1"/>
  <c r="BE133" i="1"/>
  <c r="BF148" i="1"/>
  <c r="BE148" i="1"/>
  <c r="BF152" i="1"/>
  <c r="BE152" i="1"/>
  <c r="BF158" i="1"/>
  <c r="BE158" i="1"/>
  <c r="BF181" i="1"/>
  <c r="BE181" i="1"/>
  <c r="BG192" i="1"/>
  <c r="BE192" i="1"/>
  <c r="BC17" i="1"/>
  <c r="BE17" i="1" s="1"/>
  <c r="BE22" i="1"/>
  <c r="BE24" i="1"/>
  <c r="BE30" i="1"/>
  <c r="BE35" i="1"/>
  <c r="BF58" i="1"/>
  <c r="BF84" i="1"/>
  <c r="BE94" i="1"/>
  <c r="BD97" i="1"/>
  <c r="BG97" i="1" s="1"/>
  <c r="BE101" i="1"/>
  <c r="BE126" i="1"/>
  <c r="BE129" i="1"/>
  <c r="BE144" i="1"/>
  <c r="BF174" i="1"/>
  <c r="BE174" i="1"/>
  <c r="BF178" i="1"/>
  <c r="BE178" i="1"/>
  <c r="BE180" i="1"/>
  <c r="BF198" i="1"/>
  <c r="BE198" i="1"/>
  <c r="BE265" i="1"/>
  <c r="BF265" i="1"/>
  <c r="BF303" i="1"/>
  <c r="BE303" i="1"/>
  <c r="BE368" i="1"/>
  <c r="BF368" i="1"/>
  <c r="BE376" i="1"/>
  <c r="BF376" i="1"/>
  <c r="BG437" i="1"/>
  <c r="BE437" i="1"/>
  <c r="BG440" i="1"/>
  <c r="BE440" i="1"/>
  <c r="BG451" i="1"/>
  <c r="BE451" i="1"/>
  <c r="BF549" i="1"/>
  <c r="BE549" i="1"/>
  <c r="BE204" i="1"/>
  <c r="BE211" i="1"/>
  <c r="BE215" i="1"/>
  <c r="BE221" i="1"/>
  <c r="BE226" i="1"/>
  <c r="BE228" i="1"/>
  <c r="BE232" i="1"/>
  <c r="BE245" i="1"/>
  <c r="BE247" i="1"/>
  <c r="BE262" i="1"/>
  <c r="BE275" i="1"/>
  <c r="BF275" i="1"/>
  <c r="BE276" i="1"/>
  <c r="BE282" i="1"/>
  <c r="BE290" i="1"/>
  <c r="BE294" i="1"/>
  <c r="BE298" i="1"/>
  <c r="BE321" i="1"/>
  <c r="BE323" i="1"/>
  <c r="BE337" i="1"/>
  <c r="BE339" i="1"/>
  <c r="BE340" i="1"/>
  <c r="BE345" i="1"/>
  <c r="BF364" i="1"/>
  <c r="BE385" i="1"/>
  <c r="BF399" i="1"/>
  <c r="BE399" i="1"/>
  <c r="BG436" i="1"/>
  <c r="BE436" i="1"/>
  <c r="BF452" i="1"/>
  <c r="BE452" i="1"/>
  <c r="BE203" i="1"/>
  <c r="BE210" i="1"/>
  <c r="BF229" i="1"/>
  <c r="BF233" i="1"/>
  <c r="BE253" i="1"/>
  <c r="BF266" i="1"/>
  <c r="BE281" i="1"/>
  <c r="BF316" i="1"/>
  <c r="BE316" i="1"/>
  <c r="BE328" i="1"/>
  <c r="BF334" i="1"/>
  <c r="BE342" i="1"/>
  <c r="BE354" i="1"/>
  <c r="BF354" i="1"/>
  <c r="BG362" i="1"/>
  <c r="BE362" i="1"/>
  <c r="BE365" i="1"/>
  <c r="BF365" i="1"/>
  <c r="BE415" i="1"/>
  <c r="BF415" i="1"/>
  <c r="BG435" i="1"/>
  <c r="BE435" i="1"/>
  <c r="BG445" i="1"/>
  <c r="BE445" i="1"/>
  <c r="BF498" i="1"/>
  <c r="BE498" i="1"/>
  <c r="BE147" i="1"/>
  <c r="BE175" i="1"/>
  <c r="BE208" i="1"/>
  <c r="BE222" i="1"/>
  <c r="BF226" i="1"/>
  <c r="BF228" i="1"/>
  <c r="BE230" i="1"/>
  <c r="BF232" i="1"/>
  <c r="BE234" i="1"/>
  <c r="BE235" i="1"/>
  <c r="BE236" i="1"/>
  <c r="BE257" i="1"/>
  <c r="BF270" i="1"/>
  <c r="BE271" i="1"/>
  <c r="BF271" i="1"/>
  <c r="BE272" i="1"/>
  <c r="BF276" i="1"/>
  <c r="BF278" i="1"/>
  <c r="BE280" i="1"/>
  <c r="BE287" i="1"/>
  <c r="BE314" i="1"/>
  <c r="BE315" i="1"/>
  <c r="BE320" i="1"/>
  <c r="BF320" i="1"/>
  <c r="BE324" i="1"/>
  <c r="BE325" i="1"/>
  <c r="BE335" i="1"/>
  <c r="BE341" i="1"/>
  <c r="BE343" i="1"/>
  <c r="BE344" i="1"/>
  <c r="BF359" i="1"/>
  <c r="BE359" i="1"/>
  <c r="BF446" i="1"/>
  <c r="BE446" i="1"/>
  <c r="BE267" i="1"/>
  <c r="BE269" i="1"/>
  <c r="BE273" i="1"/>
  <c r="BE277" i="1"/>
  <c r="BE285" i="1"/>
  <c r="BE292" i="1"/>
  <c r="BE296" i="1"/>
  <c r="BE300" i="1"/>
  <c r="BE301" i="1"/>
  <c r="BC327" i="1"/>
  <c r="BF327" i="1" s="1"/>
  <c r="BD349" i="1"/>
  <c r="BG349" i="1" s="1"/>
  <c r="BE355" i="1"/>
  <c r="BE418" i="1"/>
  <c r="BD455" i="1"/>
  <c r="BG455" i="1" s="1"/>
  <c r="BE482" i="1"/>
  <c r="BE491" i="1"/>
  <c r="BF567" i="1"/>
  <c r="BE567" i="1"/>
  <c r="BC357" i="1"/>
  <c r="BF357" i="1" s="1"/>
  <c r="BE384" i="1"/>
  <c r="BE391" i="1"/>
  <c r="BE392" i="1"/>
  <c r="BE393" i="1"/>
  <c r="BE394" i="1"/>
  <c r="BE395" i="1"/>
  <c r="BE396" i="1"/>
  <c r="BE397" i="1"/>
  <c r="BC403" i="1"/>
  <c r="BF403" i="1" s="1"/>
  <c r="BD426" i="1"/>
  <c r="BE426" i="1" s="1"/>
  <c r="BE516" i="1"/>
  <c r="BF516" i="1"/>
  <c r="BF565" i="1"/>
  <c r="BE565" i="1"/>
  <c r="BE416" i="1"/>
  <c r="BE425" i="1"/>
  <c r="BF439" i="1"/>
  <c r="BE444" i="1"/>
  <c r="BE450" i="1"/>
  <c r="BE456" i="1"/>
  <c r="BF458" i="1"/>
  <c r="BE458" i="1"/>
  <c r="BC464" i="1"/>
  <c r="BF464" i="1" s="1"/>
  <c r="BE466" i="1"/>
  <c r="BF473" i="1"/>
  <c r="BE476" i="1"/>
  <c r="BE486" i="1"/>
  <c r="BE490" i="1"/>
  <c r="BE494" i="1"/>
  <c r="BE496" i="1"/>
  <c r="BE500" i="1"/>
  <c r="BF545" i="1"/>
  <c r="BE545" i="1"/>
  <c r="BF551" i="1"/>
  <c r="BE551" i="1"/>
  <c r="BE461" i="1"/>
  <c r="BE471" i="1"/>
  <c r="BE472" i="1"/>
  <c r="BE522" i="1"/>
  <c r="BE534" i="1"/>
  <c r="BE536" i="1"/>
  <c r="BE538" i="1"/>
  <c r="BE540" i="1"/>
  <c r="BE561" i="1"/>
  <c r="BE463" i="1"/>
  <c r="BE465" i="1"/>
  <c r="BF472" i="1"/>
  <c r="BD478" i="1"/>
  <c r="BG478" i="1" s="1"/>
  <c r="BE518" i="1"/>
  <c r="BF522" i="1"/>
  <c r="BF534" i="1"/>
  <c r="BF536" i="1"/>
  <c r="BF538" i="1"/>
  <c r="BF540" i="1"/>
  <c r="BE553" i="1"/>
  <c r="BE569" i="1"/>
  <c r="BG34" i="1"/>
  <c r="BE34" i="1"/>
  <c r="BF17" i="1"/>
  <c r="BG20" i="1"/>
  <c r="BE20" i="1"/>
  <c r="BG10" i="1"/>
  <c r="BF13" i="1"/>
  <c r="BF14" i="1"/>
  <c r="BG18" i="1"/>
  <c r="BF19" i="1"/>
  <c r="BG21" i="1"/>
  <c r="BG22" i="1"/>
  <c r="BG23" i="1"/>
  <c r="BG24" i="1"/>
  <c r="BF25" i="1"/>
  <c r="BF26" i="1"/>
  <c r="BF27" i="1"/>
  <c r="BF28" i="1"/>
  <c r="BF29" i="1"/>
  <c r="BG31" i="1"/>
  <c r="BF32" i="1"/>
  <c r="BF33" i="1"/>
  <c r="BG35" i="1"/>
  <c r="BG36" i="1"/>
  <c r="BE38" i="1"/>
  <c r="BE41" i="1"/>
  <c r="BF42" i="1"/>
  <c r="BE50" i="1"/>
  <c r="BF53" i="1"/>
  <c r="BE53" i="1"/>
  <c r="BF64" i="1"/>
  <c r="BE64" i="1"/>
  <c r="BE74" i="1"/>
  <c r="BF79" i="1"/>
  <c r="BE79" i="1"/>
  <c r="BF80" i="1"/>
  <c r="BE82" i="1"/>
  <c r="BD87" i="1"/>
  <c r="BG87" i="1" s="1"/>
  <c r="BF99" i="1"/>
  <c r="BE99" i="1"/>
  <c r="BE103" i="1"/>
  <c r="BF106" i="1"/>
  <c r="BE106" i="1"/>
  <c r="BE110" i="1"/>
  <c r="BE113" i="1"/>
  <c r="BF115" i="1"/>
  <c r="BE115" i="1"/>
  <c r="BF116" i="1"/>
  <c r="BF123" i="1"/>
  <c r="BE123" i="1"/>
  <c r="BE130" i="1"/>
  <c r="BE134" i="1"/>
  <c r="BF141" i="1"/>
  <c r="BE141" i="1"/>
  <c r="BF147" i="1"/>
  <c r="BF57" i="1"/>
  <c r="BE57" i="1"/>
  <c r="BF63" i="1"/>
  <c r="BE63" i="1"/>
  <c r="BF85" i="1"/>
  <c r="BE85" i="1"/>
  <c r="BF105" i="1"/>
  <c r="BE105" i="1"/>
  <c r="BF112" i="1"/>
  <c r="BE112" i="1"/>
  <c r="BF140" i="1"/>
  <c r="BE140" i="1"/>
  <c r="BE177" i="1"/>
  <c r="BG177" i="1"/>
  <c r="BE196" i="1"/>
  <c r="BG196" i="1"/>
  <c r="BF43" i="1"/>
  <c r="BE43" i="1"/>
  <c r="BE48" i="1"/>
  <c r="BE52" i="1"/>
  <c r="BF55" i="1"/>
  <c r="BE55" i="1"/>
  <c r="BF62" i="1"/>
  <c r="BE62" i="1"/>
  <c r="BF66" i="1"/>
  <c r="BE66" i="1"/>
  <c r="BE67" i="1"/>
  <c r="BF75" i="1"/>
  <c r="BE75" i="1"/>
  <c r="BE78" i="1"/>
  <c r="BF83" i="1"/>
  <c r="BE83" i="1"/>
  <c r="BE91" i="1"/>
  <c r="BF92" i="1"/>
  <c r="BE93" i="1"/>
  <c r="BF94" i="1"/>
  <c r="BE98" i="1"/>
  <c r="BE114" i="1"/>
  <c r="BE122" i="1"/>
  <c r="BF125" i="1"/>
  <c r="BE125" i="1"/>
  <c r="BE128" i="1"/>
  <c r="BE132" i="1"/>
  <c r="BF139" i="1"/>
  <c r="BE139" i="1"/>
  <c r="BE202" i="1"/>
  <c r="BF202" i="1"/>
  <c r="BE40" i="1"/>
  <c r="BE51" i="1"/>
  <c r="BF54" i="1"/>
  <c r="BE54" i="1"/>
  <c r="BF61" i="1"/>
  <c r="BE61" i="1"/>
  <c r="BF65" i="1"/>
  <c r="BE65" i="1"/>
  <c r="BF67" i="1"/>
  <c r="BF87" i="1"/>
  <c r="BD95" i="1"/>
  <c r="BG95" i="1" s="1"/>
  <c r="BF95" i="1"/>
  <c r="BE96" i="1"/>
  <c r="BE104" i="1"/>
  <c r="BE111" i="1"/>
  <c r="BF118" i="1"/>
  <c r="BE118" i="1"/>
  <c r="BF119" i="1"/>
  <c r="BF124" i="1"/>
  <c r="BE124" i="1"/>
  <c r="BE131" i="1"/>
  <c r="BE135" i="1"/>
  <c r="BE136" i="1"/>
  <c r="BE137" i="1"/>
  <c r="BE138" i="1"/>
  <c r="BF142" i="1"/>
  <c r="BF144" i="1"/>
  <c r="BE223" i="1"/>
  <c r="BF255" i="1"/>
  <c r="BE255" i="1"/>
  <c r="BF289" i="1"/>
  <c r="BE289" i="1"/>
  <c r="BE327" i="1"/>
  <c r="BE160" i="1"/>
  <c r="BE161" i="1"/>
  <c r="BE162" i="1"/>
  <c r="BE171" i="1"/>
  <c r="BE172" i="1"/>
  <c r="BE176" i="1"/>
  <c r="BE179" i="1"/>
  <c r="BE184" i="1"/>
  <c r="BE187" i="1"/>
  <c r="BE190" i="1"/>
  <c r="BE193" i="1"/>
  <c r="BE212" i="1"/>
  <c r="BE216" i="1"/>
  <c r="BE220" i="1"/>
  <c r="BE224" i="1"/>
  <c r="BE237" i="1"/>
  <c r="BE238" i="1"/>
  <c r="BE241" i="1"/>
  <c r="BE246" i="1"/>
  <c r="BE251" i="1"/>
  <c r="BE261" i="1"/>
  <c r="BF264" i="1"/>
  <c r="BE264" i="1"/>
  <c r="BE302" i="1"/>
  <c r="BF302" i="1"/>
  <c r="BE348" i="1"/>
  <c r="BE163" i="1"/>
  <c r="BE164" i="1"/>
  <c r="BE165" i="1"/>
  <c r="BE166" i="1"/>
  <c r="BE167" i="1"/>
  <c r="BE168" i="1"/>
  <c r="BE173" i="1"/>
  <c r="BE182" i="1"/>
  <c r="BE185" i="1"/>
  <c r="BE191" i="1"/>
  <c r="BE194" i="1"/>
  <c r="BE197" i="1"/>
  <c r="BE199" i="1"/>
  <c r="BE201" i="1"/>
  <c r="BE205" i="1"/>
  <c r="BE206" i="1"/>
  <c r="BE207" i="1"/>
  <c r="BE213" i="1"/>
  <c r="BE217" i="1"/>
  <c r="BE225" i="1"/>
  <c r="BE243" i="1"/>
  <c r="BE250" i="1"/>
  <c r="BF268" i="1"/>
  <c r="BE283" i="1"/>
  <c r="BG283" i="1"/>
  <c r="BE242" i="1"/>
  <c r="BE244" i="1"/>
  <c r="BF249" i="1"/>
  <c r="BE249" i="1"/>
  <c r="BF252" i="1"/>
  <c r="BE252" i="1"/>
  <c r="BF258" i="1"/>
  <c r="BE263" i="1"/>
  <c r="BF267" i="1"/>
  <c r="BE279" i="1"/>
  <c r="BE284" i="1"/>
  <c r="BG284" i="1"/>
  <c r="BE288" i="1"/>
  <c r="BF301" i="1"/>
  <c r="BE304" i="1"/>
  <c r="BF307" i="1"/>
  <c r="BE307" i="1"/>
  <c r="BF311" i="1"/>
  <c r="BE311" i="1"/>
  <c r="BE317" i="1"/>
  <c r="BD329" i="1"/>
  <c r="BE352" i="1"/>
  <c r="BF355" i="1"/>
  <c r="BE358" i="1"/>
  <c r="BF360" i="1"/>
  <c r="BE360" i="1"/>
  <c r="BE366" i="1"/>
  <c r="BE370" i="1"/>
  <c r="BF374" i="1"/>
  <c r="BE374" i="1"/>
  <c r="BG380" i="1"/>
  <c r="BE380" i="1"/>
  <c r="BE429" i="1"/>
  <c r="BF429" i="1"/>
  <c r="BG285" i="1"/>
  <c r="BG286" i="1"/>
  <c r="BG287" i="1"/>
  <c r="BG290" i="1"/>
  <c r="BG291" i="1"/>
  <c r="BG292" i="1"/>
  <c r="BG293" i="1"/>
  <c r="BG294" i="1"/>
  <c r="BG295" i="1"/>
  <c r="BG296" i="1"/>
  <c r="BG297" i="1"/>
  <c r="BG298" i="1"/>
  <c r="BG299" i="1"/>
  <c r="BG300" i="1"/>
  <c r="BF310" i="1"/>
  <c r="BE310" i="1"/>
  <c r="BF322" i="1"/>
  <c r="BE322" i="1"/>
  <c r="BF347" i="1"/>
  <c r="BE347" i="1"/>
  <c r="BF373" i="1"/>
  <c r="BE373" i="1"/>
  <c r="BG378" i="1"/>
  <c r="BE378" i="1"/>
  <c r="BG426" i="1"/>
  <c r="BF309" i="1"/>
  <c r="BE309" i="1"/>
  <c r="BF372" i="1"/>
  <c r="BE372" i="1"/>
  <c r="BG379" i="1"/>
  <c r="BE379" i="1"/>
  <c r="BG381" i="1"/>
  <c r="BE381" i="1"/>
  <c r="BF457" i="1"/>
  <c r="BE457" i="1"/>
  <c r="BE305" i="1"/>
  <c r="BF308" i="1"/>
  <c r="BE308" i="1"/>
  <c r="BF312" i="1"/>
  <c r="BE312" i="1"/>
  <c r="BE318" i="1"/>
  <c r="BF319" i="1"/>
  <c r="BE326" i="1"/>
  <c r="BF331" i="1"/>
  <c r="BE331" i="1"/>
  <c r="BE336" i="1"/>
  <c r="BF353" i="1"/>
  <c r="BE353" i="1"/>
  <c r="BF361" i="1"/>
  <c r="BE361" i="1"/>
  <c r="BF363" i="1"/>
  <c r="BF367" i="1"/>
  <c r="BE367" i="1"/>
  <c r="BF371" i="1"/>
  <c r="BE371" i="1"/>
  <c r="BF375" i="1"/>
  <c r="BE375" i="1"/>
  <c r="BE507" i="1"/>
  <c r="BF507" i="1"/>
  <c r="BE515" i="1"/>
  <c r="BF515" i="1"/>
  <c r="BE529" i="1"/>
  <c r="BF529" i="1"/>
  <c r="BE382" i="1"/>
  <c r="BE386" i="1"/>
  <c r="BE387" i="1"/>
  <c r="BE388" i="1"/>
  <c r="BE389" i="1"/>
  <c r="BE400" i="1"/>
  <c r="BE401" i="1"/>
  <c r="BE402" i="1"/>
  <c r="BE404" i="1"/>
  <c r="BE422" i="1"/>
  <c r="BE424" i="1"/>
  <c r="BE427" i="1"/>
  <c r="BE428" i="1"/>
  <c r="BE431" i="1"/>
  <c r="BE432" i="1"/>
  <c r="BE438" i="1"/>
  <c r="BE441" i="1"/>
  <c r="BE448" i="1"/>
  <c r="BE453" i="1"/>
  <c r="BE454" i="1"/>
  <c r="BE459" i="1"/>
  <c r="BE469" i="1"/>
  <c r="BE475" i="1"/>
  <c r="BE477" i="1"/>
  <c r="BE478" i="1"/>
  <c r="BE505" i="1"/>
  <c r="BF505" i="1"/>
  <c r="BE513" i="1"/>
  <c r="BF513" i="1"/>
  <c r="BE527" i="1"/>
  <c r="BF527" i="1"/>
  <c r="BE383" i="1"/>
  <c r="BE405" i="1"/>
  <c r="BE406" i="1"/>
  <c r="BE407" i="1"/>
  <c r="BE408" i="1"/>
  <c r="BE409" i="1"/>
  <c r="BE410" i="1"/>
  <c r="BE411" i="1"/>
  <c r="BE412" i="1"/>
  <c r="BE413" i="1"/>
  <c r="BE414" i="1"/>
  <c r="BE423" i="1"/>
  <c r="BE430" i="1"/>
  <c r="BE433" i="1"/>
  <c r="BE442" i="1"/>
  <c r="BE449" i="1"/>
  <c r="BF461" i="1"/>
  <c r="BE462" i="1"/>
  <c r="BE467" i="1"/>
  <c r="BF471" i="1"/>
  <c r="BE479" i="1"/>
  <c r="BE481" i="1"/>
  <c r="BE483" i="1"/>
  <c r="BE485" i="1"/>
  <c r="BE487" i="1"/>
  <c r="BE503" i="1"/>
  <c r="BF503" i="1"/>
  <c r="BE511" i="1"/>
  <c r="BF511" i="1"/>
  <c r="BE525" i="1"/>
  <c r="BF525" i="1"/>
  <c r="BE533" i="1"/>
  <c r="BF533" i="1"/>
  <c r="BE535" i="1"/>
  <c r="BF535" i="1"/>
  <c r="BE537" i="1"/>
  <c r="BF537" i="1"/>
  <c r="BE539" i="1"/>
  <c r="BF539" i="1"/>
  <c r="BE541" i="1"/>
  <c r="BF541" i="1"/>
  <c r="BE470" i="1"/>
  <c r="BE474" i="1"/>
  <c r="BE509" i="1"/>
  <c r="BF509" i="1"/>
  <c r="BE517" i="1"/>
  <c r="BF517" i="1"/>
  <c r="BE519" i="1"/>
  <c r="BF519" i="1"/>
  <c r="BE521" i="1"/>
  <c r="BF521" i="1"/>
  <c r="BE523" i="1"/>
  <c r="BF523" i="1"/>
  <c r="BE531" i="1"/>
  <c r="BF531" i="1"/>
  <c r="BF542" i="1"/>
  <c r="BE542" i="1"/>
  <c r="BE502" i="1"/>
  <c r="BE504" i="1"/>
  <c r="BE506" i="1"/>
  <c r="BE508" i="1"/>
  <c r="BE510" i="1"/>
  <c r="BE512" i="1"/>
  <c r="BE514" i="1"/>
  <c r="BE524" i="1"/>
  <c r="BE526" i="1"/>
  <c r="BE528" i="1"/>
  <c r="BE530" i="1"/>
  <c r="BE532" i="1"/>
  <c r="BE544" i="1"/>
  <c r="BE546" i="1"/>
  <c r="BE548" i="1"/>
  <c r="BE550" i="1"/>
  <c r="BE552" i="1"/>
  <c r="BE554" i="1"/>
  <c r="BE556" i="1"/>
  <c r="BE558" i="1"/>
  <c r="BE560" i="1"/>
  <c r="BE562" i="1"/>
  <c r="BE564" i="1"/>
  <c r="BE566" i="1"/>
  <c r="BE568" i="1"/>
  <c r="BE570" i="1"/>
  <c r="BE572" i="1"/>
  <c r="BE543" i="1"/>
  <c r="BE573" i="1"/>
  <c r="BG573" i="1"/>
  <c r="BE574" i="1"/>
  <c r="BG574" i="1"/>
  <c r="BE575" i="1"/>
  <c r="BG575" i="1"/>
  <c r="BE576" i="1"/>
  <c r="BG576" i="1"/>
  <c r="BE577" i="1"/>
  <c r="BG577" i="1"/>
  <c r="BE578" i="1"/>
  <c r="BG578" i="1"/>
  <c r="BE579" i="1"/>
  <c r="BG579" i="1"/>
  <c r="BE580" i="1"/>
  <c r="BG580" i="1"/>
  <c r="BE581" i="1"/>
  <c r="BG581" i="1"/>
  <c r="BE582" i="1"/>
  <c r="BG582" i="1"/>
  <c r="BE583" i="1"/>
  <c r="BG583" i="1"/>
  <c r="BE584" i="1"/>
  <c r="BG584" i="1"/>
  <c r="BE585" i="1"/>
  <c r="BG585" i="1"/>
  <c r="BE586" i="1"/>
  <c r="BG586" i="1"/>
  <c r="BE587" i="1"/>
  <c r="BG587" i="1"/>
  <c r="BE588" i="1"/>
  <c r="BG588" i="1"/>
  <c r="BE589" i="1"/>
  <c r="BG589" i="1"/>
  <c r="BE590" i="1"/>
  <c r="BG590" i="1"/>
  <c r="BE591" i="1"/>
  <c r="BG591" i="1"/>
  <c r="BE592" i="1"/>
  <c r="BG592" i="1"/>
  <c r="BE593" i="1"/>
  <c r="BG593" i="1"/>
  <c r="BE594" i="1"/>
  <c r="BG594" i="1"/>
  <c r="BE595" i="1"/>
  <c r="BG595" i="1"/>
  <c r="BE596" i="1"/>
  <c r="BG596" i="1"/>
  <c r="BE597" i="1"/>
  <c r="BG597" i="1"/>
  <c r="BE598" i="1"/>
  <c r="BG598" i="1"/>
  <c r="BE599" i="1"/>
  <c r="BG599" i="1"/>
  <c r="BE600" i="1"/>
  <c r="BG600" i="1"/>
  <c r="BE601" i="1"/>
  <c r="BG601" i="1"/>
  <c r="BE602" i="1"/>
  <c r="BG602" i="1"/>
  <c r="BE603" i="1"/>
  <c r="BG603" i="1"/>
  <c r="BE604" i="1"/>
  <c r="BG604" i="1"/>
  <c r="BE605" i="1"/>
  <c r="BG605" i="1"/>
  <c r="BE606" i="1"/>
  <c r="BG606" i="1"/>
  <c r="BE607" i="1"/>
  <c r="BG607" i="1"/>
  <c r="BE608" i="1"/>
  <c r="BG608" i="1"/>
  <c r="BE609" i="1"/>
  <c r="BG609" i="1"/>
  <c r="BE610" i="1"/>
  <c r="BG610" i="1"/>
  <c r="BE611" i="1"/>
  <c r="BG611" i="1"/>
  <c r="BE612" i="1"/>
  <c r="BG612" i="1"/>
  <c r="BE613" i="1"/>
  <c r="BG613" i="1"/>
  <c r="BE614" i="1"/>
  <c r="BG614" i="1"/>
  <c r="BE615" i="1"/>
  <c r="BG615" i="1"/>
  <c r="BE616" i="1"/>
  <c r="BG616" i="1"/>
  <c r="BE617" i="1"/>
  <c r="BG617" i="1"/>
  <c r="BE618" i="1"/>
  <c r="BG618" i="1"/>
  <c r="BE619" i="1"/>
  <c r="BG619" i="1"/>
  <c r="BE620" i="1"/>
  <c r="BG620" i="1"/>
  <c r="BE621" i="1"/>
  <c r="BG621" i="1"/>
  <c r="BE622" i="1"/>
  <c r="BG622" i="1"/>
  <c r="BE623" i="1"/>
  <c r="BG623" i="1"/>
  <c r="BE624" i="1"/>
  <c r="BG624" i="1"/>
  <c r="BE625" i="1"/>
  <c r="BG625" i="1"/>
  <c r="BE626" i="1"/>
  <c r="BG626" i="1"/>
  <c r="BE443" i="1" l="1"/>
  <c r="BE357" i="1"/>
  <c r="BE455" i="1"/>
  <c r="BE468" i="1"/>
  <c r="BE464" i="1"/>
  <c r="BE87" i="1"/>
  <c r="BE403" i="1"/>
  <c r="BE390" i="1"/>
  <c r="BE97" i="1"/>
  <c r="BE95" i="1"/>
  <c r="BE349" i="1"/>
  <c r="BE11" i="1"/>
  <c r="BG329" i="1"/>
  <c r="BE3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S67" authorId="0" shapeId="0" xr:uid="{00000000-0006-0000-0000-00000E000000}">
      <text>
        <r>
          <rPr>
            <sz val="11"/>
            <color theme="1"/>
            <rFont val="Aptos Narrow"/>
            <scheme val="minor"/>
          </rPr>
          <t>contrato pendiente de recursos
	-Viviana Patricia Murcia Mosucha</t>
        </r>
      </text>
    </comment>
    <comment ref="AW68" authorId="0" shapeId="0" xr:uid="{00000000-0006-0000-0000-00000D000000}">
      <text>
        <r>
          <rPr>
            <sz val="11"/>
            <color theme="1"/>
            <rFont val="Aptos Narrow"/>
            <scheme val="minor"/>
          </rPr>
          <t>licencias autocad
	-Viviana Patricia Murcia Mosucha</t>
        </r>
      </text>
    </comment>
    <comment ref="AS87" authorId="0" shapeId="0" xr:uid="{00000000-0006-0000-0000-00000F000000}">
      <text>
        <r>
          <rPr>
            <sz val="11"/>
            <color theme="1"/>
            <rFont val="Aptos Narrow"/>
            <scheme val="minor"/>
          </rPr>
          <t>desarrollador
	-Viviana Patricia Murcia Mosucha</t>
        </r>
      </text>
    </comment>
    <comment ref="AU90" authorId="0" shapeId="0" xr:uid="{00000000-0006-0000-0000-000002000000}">
      <text>
        <r>
          <rPr>
            <sz val="11"/>
            <color theme="1"/>
            <rFont val="Aptos Narrow"/>
            <scheme val="minor"/>
          </rPr>
          <t>nube
	-Viviana Patricia Murcia Mosucha</t>
        </r>
      </text>
    </comment>
    <comment ref="AU106" authorId="0" shapeId="0" xr:uid="{00000000-0006-0000-0000-000001000000}">
      <text>
        <r>
          <rPr>
            <sz val="11"/>
            <color theme="1"/>
            <rFont val="Aptos Narrow"/>
            <scheme val="minor"/>
          </rPr>
          <t>Operador logístico
	-Viviana Patricia Murcia Mosucha</t>
        </r>
      </text>
    </comment>
    <comment ref="AU226" authorId="0" shapeId="0" xr:uid="{00000000-0006-0000-0000-00000A000000}">
      <text>
        <r>
          <rPr>
            <sz val="11"/>
            <color theme="1"/>
            <rFont val="Aptos Narrow"/>
            <scheme val="minor"/>
          </rPr>
          <t>nube
	-Viviana Patricia Murcia Mosucha</t>
        </r>
      </text>
    </comment>
    <comment ref="AU227" authorId="0" shapeId="0" xr:uid="{00000000-0006-0000-0000-000009000000}">
      <text>
        <r>
          <rPr>
            <sz val="11"/>
            <color theme="1"/>
            <rFont val="Aptos Narrow"/>
            <scheme val="minor"/>
          </rPr>
          <t>Novasoft
	-Viviana Patricia Murcia Mosucha</t>
        </r>
      </text>
    </comment>
    <comment ref="AW229" authorId="0" shapeId="0" xr:uid="{00000000-0006-0000-0000-00000B000000}">
      <text>
        <r>
          <rPr>
            <sz val="11"/>
            <color theme="1"/>
            <rFont val="Aptos Narrow"/>
            <scheme val="minor"/>
          </rPr>
          <t>Computadores
	-Viviana Patricia Murcia Mosucha</t>
        </r>
      </text>
    </comment>
    <comment ref="AW230" authorId="0" shapeId="0" xr:uid="{00000000-0006-0000-0000-000008000000}">
      <text>
        <r>
          <rPr>
            <sz val="11"/>
            <color theme="1"/>
            <rFont val="Aptos Narrow"/>
            <scheme val="minor"/>
          </rPr>
          <t>computadores
	-Viviana Patricia Murcia Mosucha</t>
        </r>
      </text>
    </comment>
    <comment ref="AW231" authorId="0" shapeId="0" xr:uid="{00000000-0006-0000-0000-000007000000}">
      <text>
        <r>
          <rPr>
            <sz val="11"/>
            <color theme="1"/>
            <rFont val="Aptos Narrow"/>
            <scheme val="minor"/>
          </rPr>
          <t>computadores
	-Viviana Patricia Murcia Mosucha</t>
        </r>
      </text>
    </comment>
    <comment ref="AW232" authorId="0" shapeId="0" xr:uid="{00000000-0006-0000-0000-000006000000}">
      <text>
        <r>
          <rPr>
            <sz val="11"/>
            <color theme="1"/>
            <rFont val="Aptos Narrow"/>
            <scheme val="minor"/>
          </rPr>
          <t>computadores
	-Viviana Patricia Murcia Mosucha</t>
        </r>
      </text>
    </comment>
    <comment ref="AW237" authorId="0" shapeId="0" xr:uid="{00000000-0006-0000-0000-000003000000}">
      <text>
        <r>
          <rPr>
            <sz val="11"/>
            <color theme="1"/>
            <rFont val="Aptos Narrow"/>
            <scheme val="minor"/>
          </rPr>
          <t>Contratista que no aceptó
	-Viviana Patricia Murcia Mosucha</t>
        </r>
      </text>
    </comment>
    <comment ref="AU247" authorId="0" shapeId="0" xr:uid="{00000000-0006-0000-0000-000005000000}">
      <text>
        <r>
          <rPr>
            <sz val="11"/>
            <color theme="1"/>
            <rFont val="Aptos Narrow"/>
            <scheme val="minor"/>
          </rPr>
          <t>back up
	-Viviana Patricia Murcia Mosucha</t>
        </r>
      </text>
    </comment>
    <comment ref="AU248" authorId="0" shapeId="0" xr:uid="{00000000-0006-0000-0000-000004000000}">
      <text>
        <r>
          <rPr>
            <sz val="11"/>
            <color theme="1"/>
            <rFont val="Aptos Narrow"/>
            <scheme val="minor"/>
          </rPr>
          <t>ARGO
	-Viviana Patricia Murcia Mosucha</t>
        </r>
      </text>
    </comment>
  </commentList>
</comments>
</file>

<file path=xl/sharedStrings.xml><?xml version="1.0" encoding="utf-8"?>
<sst xmlns="http://schemas.openxmlformats.org/spreadsheetml/2006/main" count="14468" uniqueCount="1683">
  <si>
    <t>Tipo de PAA</t>
  </si>
  <si>
    <t>Dependencia</t>
  </si>
  <si>
    <t>Proyecto (Nombre corto)</t>
  </si>
  <si>
    <t>Presentado y aprobado en comité de contratación</t>
  </si>
  <si>
    <t>Número de comité de contratación</t>
  </si>
  <si>
    <t>Ítem</t>
  </si>
  <si>
    <t>Objetivo Específico del Proyecto de Inversión</t>
  </si>
  <si>
    <t>Producto del Proyecto de Inversión</t>
  </si>
  <si>
    <t>Actividad / Entregable del Proyecto de Inversión</t>
  </si>
  <si>
    <t>Códigos UNSPSC</t>
  </si>
  <si>
    <t>Rubro prespuestal</t>
  </si>
  <si>
    <t>Tipología de la adquisición</t>
  </si>
  <si>
    <t>Descripción u objeto contractual</t>
  </si>
  <si>
    <t>Mes estimado de inicio de proceso de selección</t>
  </si>
  <si>
    <t>Mes estimado de presentación de ofertas</t>
  </si>
  <si>
    <t>Mes de registro del contrato</t>
  </si>
  <si>
    <t>Duración</t>
  </si>
  <si>
    <t>Unidad de tiempo</t>
  </si>
  <si>
    <t>Modalidad de selección</t>
  </si>
  <si>
    <t>Fuente de los recursos</t>
  </si>
  <si>
    <t>Valor total estimado</t>
  </si>
  <si>
    <t>Valor estimado en la vigencia actual</t>
  </si>
  <si>
    <t>¿Se requieren vigencias futuras?</t>
  </si>
  <si>
    <t>Estado de solicitud de vigencias futuras</t>
  </si>
  <si>
    <t>Nombre del responsable</t>
  </si>
  <si>
    <t>Cargo del responsable</t>
  </si>
  <si>
    <t>Teléfono del responsable</t>
  </si>
  <si>
    <t>Correo electrónico del responsable</t>
  </si>
  <si>
    <t>Compromisos Enero_Modificado</t>
  </si>
  <si>
    <t>Obligaciones Enero_Modificado</t>
  </si>
  <si>
    <t>Compromisos Febrero_Modificado</t>
  </si>
  <si>
    <t>Obligaciones Febrero_Modificado</t>
  </si>
  <si>
    <t>Compromisos Marzo_Modificado</t>
  </si>
  <si>
    <t>Obligaciones Marzo_Modificado</t>
  </si>
  <si>
    <t>Compromisos Abril_Modificado</t>
  </si>
  <si>
    <t>Obligaciones Abril_Modificado</t>
  </si>
  <si>
    <t>Compromisos Mayo_Modificado</t>
  </si>
  <si>
    <t>Obligaciones Mayo_Modificado</t>
  </si>
  <si>
    <t>Compromisos Junio_Modificado</t>
  </si>
  <si>
    <t>Obligaciones Junio_Modificado</t>
  </si>
  <si>
    <t>Compromisos Julio_Modificado</t>
  </si>
  <si>
    <t>Obligaciones Julio_Modificado</t>
  </si>
  <si>
    <t>Compromisos Agosto_Modificado</t>
  </si>
  <si>
    <t>Obligaciones Agosto_Modificado</t>
  </si>
  <si>
    <t>Compromisos Septiembre_Modificado</t>
  </si>
  <si>
    <t>Obligaciones Septiembre_Modificado</t>
  </si>
  <si>
    <t>Compromisos Octubre_Modificado</t>
  </si>
  <si>
    <t>Obligaciones Octubre_Modificado</t>
  </si>
  <si>
    <t>Compromisos Noviembre_Modificado</t>
  </si>
  <si>
    <t>Obligaciones Noviembre_Modificado</t>
  </si>
  <si>
    <t>Compromisos Diciembre_Modificado</t>
  </si>
  <si>
    <t>Obligaciones Diciembre_Modificado</t>
  </si>
  <si>
    <t>Compromisos por definir</t>
  </si>
  <si>
    <t>Obligaciones por definir</t>
  </si>
  <si>
    <t>Total Compromisos_Modificado</t>
  </si>
  <si>
    <t>Total Obligaciones_Modificado</t>
  </si>
  <si>
    <t>Diferencias (Compromisos - Obligaciones) Modificado</t>
  </si>
  <si>
    <t>Diferencia Valor Ítem - Valor comprometido (Modificado)</t>
  </si>
  <si>
    <t>Diferencia Valor Ítem - Valor obligado (Modificado)</t>
  </si>
  <si>
    <t>Inversión</t>
  </si>
  <si>
    <t>Secretaría General</t>
  </si>
  <si>
    <t>Transversal</t>
  </si>
  <si>
    <t>Si</t>
  </si>
  <si>
    <t>110-1</t>
  </si>
  <si>
    <t>2 - Fortalecer la gestión de conocimiento para la planeación minero energética.</t>
  </si>
  <si>
    <t>2 - DOCUMENTOS METODOLÓGICOS</t>
  </si>
  <si>
    <t>Desarrollar la gestión del conocimiento mediante la generación, producción y validación de los documentos metodológicos para la toma de decisiones en los procesos y actividades de la entidad, asegurando su alineación con las estrategias institucionales</t>
  </si>
  <si>
    <t>N/A</t>
  </si>
  <si>
    <t>C-2199-1900-4-53105B-2199057-02</t>
  </si>
  <si>
    <t>Planta temporal</t>
  </si>
  <si>
    <t>110-1 Planta temporal</t>
  </si>
  <si>
    <t>Septiembre</t>
  </si>
  <si>
    <t>Meses</t>
  </si>
  <si>
    <t>Contratación directa - Prestación de servicios profesionales</t>
  </si>
  <si>
    <t>Propios - 20 - Ingresos corrientes</t>
  </si>
  <si>
    <t>No</t>
  </si>
  <si>
    <t>Liliana Castillo</t>
  </si>
  <si>
    <t>Coordinadora GIT Gestión del Talento Humano</t>
  </si>
  <si>
    <t>liliana.castillo@upme.gov.co</t>
  </si>
  <si>
    <t>110-2</t>
  </si>
  <si>
    <t>1 - SERVICIO DE EDUCACIÓN INFORMAL PARA LA GESTIÓN ADMINISTRATIVA</t>
  </si>
  <si>
    <t>Diseñar y ejecutar el plan de fortalecimiento de competencias técnicas especializadas para la planeación minero energética</t>
  </si>
  <si>
    <t>C-2199-1900-4-53105B-2199060-02</t>
  </si>
  <si>
    <t>Prestación de servicios profesionales y/o de apoyo a la gestión</t>
  </si>
  <si>
    <t>110-2 Prestar los servicios profesionales en la segunda fase del proceso de modernización de la UPME, con el fin de actualizar el estudio técnico que contenga una propuesta de estructura, planta de cargos y demás anexos, conforme a los lineamientos y directrices establecidos por el Departamento Administrativo de la Función Pública</t>
  </si>
  <si>
    <t>Febrero</t>
  </si>
  <si>
    <t>Marzo</t>
  </si>
  <si>
    <t>110-3</t>
  </si>
  <si>
    <t>110-3 Prestar los servicios profesionales en la estructuración, consolidación y presentación del estudio técnico, proyectos de actos administrativos y los anexos requeridos por el Departamento Administrativo de la Función Pública DAFP y prestar el apoyo jurídico requerido, en el marco de la segunda fase del proceso de modernización de la UPME.</t>
  </si>
  <si>
    <t>110-4</t>
  </si>
  <si>
    <t>110-4 Prestar servicios profesionales en las actividades relacionadas con el proceso de gestión contractual de la entidad, en especial, las derivadas del proyecto de inversión "Fortalecimiento de la percepción de la ciudadanía frente a los productos y servicios prestados por la UPME Nacional", y que, con ello, permita el cumplimiento de los objetivos y productos del mismo.</t>
  </si>
  <si>
    <t>Enero</t>
  </si>
  <si>
    <t>Edith Chávez</t>
  </si>
  <si>
    <t>Coordinadora GIT Gestión Contractual</t>
  </si>
  <si>
    <t>yenny.barrera@upme.gov.co</t>
  </si>
  <si>
    <t>110-5</t>
  </si>
  <si>
    <t>Configurar entornos de aprendizaje, intercambio y difusión de conocimiento asociados a prácticas clave de la entidad y su información minero energética, entre los servidores públicos y los grupos de valor</t>
  </si>
  <si>
    <t>Arrendamientos</t>
  </si>
  <si>
    <t>110-5 Alquilar espacios de oficina (coworking) en virtud del proyecto de modernización organizacional para la Unidad de Planeación Minero Energética.</t>
  </si>
  <si>
    <t>Abril</t>
  </si>
  <si>
    <t>Julio</t>
  </si>
  <si>
    <t>Contratación directa - Contratos de arrendamiento o adquisición de inmuebles</t>
  </si>
  <si>
    <t>Yezmy Vargas</t>
  </si>
  <si>
    <t>Coordinador GIT Gestión Administrativa y Servicio al Ciudadano</t>
  </si>
  <si>
    <t>yezmy.vargas@upme.gov.co</t>
  </si>
  <si>
    <t>110-6</t>
  </si>
  <si>
    <t>110-6 Prestar los servicios profesionales para asistir y acompañar la gestión de la dimensión del Talento Humano, en su componente de selección, vinculación capacitación, gestión del Conocimiento, así como apoyar lo inherente a Evaluación de Desempeño, Evaluación de la Gestión Institucional y Acuerdos de Gestión.</t>
  </si>
  <si>
    <t>110-7</t>
  </si>
  <si>
    <t>110-7 Prestar los servicios profesionales para asistir las actividades que fortalezcan la Gestión del Conocimiento por medio de la Dimensión del Talento Humano mediante la implementación de las políticas del Modelo Integrado de Planeación y Gestión MIPG, en especial la Política de Integridad y la Política de Gestión del Talento Humano.</t>
  </si>
  <si>
    <t>110-8</t>
  </si>
  <si>
    <t>110-8 Prestar los servicios profesionales para apoyar el seguimiento y control de la ejecución presupuestal y financiera de los recursos de funcionamiento e inversión asignados a la Secretaría General, así como brindar apoyo en la gestión de nómina de la UPME.</t>
  </si>
  <si>
    <t>Paula Ruiz</t>
  </si>
  <si>
    <t>Secretaria General</t>
  </si>
  <si>
    <t>paula.ruiz@upme.gov.co</t>
  </si>
  <si>
    <t>75 (30/12/2024)</t>
  </si>
  <si>
    <t>110-9</t>
  </si>
  <si>
    <t>110-9 Prestar servicios profesionales para el desarrollo de las actividades relacionadas con la administración - Riesgos, Calidad y Planes de mejora de los GIT que hacen parte de la Secretaría General, así como apoyar desde el componente jurídico las metas, programas y proyectos a cargo de la Secretaría General.</t>
  </si>
  <si>
    <t>110-10</t>
  </si>
  <si>
    <t>110-10 Prestar servicios profesionales para el desarrollo de las actividades relacionadas con la administración - Riesgos, Calidad y Planes de mejora de los GIT que hacen parte de la Secretaría General, así como apoyar desde el componente jurídico las metas, programas y proyectos a cargo de la Secretaría General.</t>
  </si>
  <si>
    <t>110-11</t>
  </si>
  <si>
    <t>110-11 Prestar los servicios profesionales para el desarrollo de las actividades de apoyo jurídico de la Secretaría General.</t>
  </si>
  <si>
    <t>110-12</t>
  </si>
  <si>
    <t>110-12 Prestar los servicios profesionales para realizar y apoyar las diferentes actividades que fortalezcan la gestión del conocimiento por medio de la implementación de las políticas del Modelo Integrado de Planeación y Gestión MIPG y la política de Gestión del Talento Humano, en especial el programa de capacitación del Sistema de Gestión de Seguridad y Salud en el Trabajo de la UPME.</t>
  </si>
  <si>
    <t>110-13</t>
  </si>
  <si>
    <t>110-13 Prestar los servicios profesionales para realizar y apoyar las diferentes actividades que fortalezcan la gestión del conocimiento por medio de la implementación de las políticas del Modelo Integrado de Planeación y Gestión MIPG y la política de Gestión del Talento Humano, en especial el programa de capacitación del Sistema de Gestión de Seguridad y Salud en el Trabajo de la UPME.</t>
  </si>
  <si>
    <t>110-14</t>
  </si>
  <si>
    <t>110-14 Prestar servicios profesionales para asesorar en el diseño del Sistema Propio de Evaluación de Desempeño Laboral de la Unidad de Planeación Minero Energética.</t>
  </si>
  <si>
    <t>Mayo</t>
  </si>
  <si>
    <t>Junio</t>
  </si>
  <si>
    <t>Contratación directa  - único oferente</t>
  </si>
  <si>
    <t>110-15</t>
  </si>
  <si>
    <t>Adquisición de bienes y/o servicios (otros)</t>
  </si>
  <si>
    <t>110-15 Contratar los servicios profesionales para el desarrollo de actividades formativas de carácter misional, previstas en el Plan Institucional de Capacitación (PIC) de la vigencia 2025,  dirigido a las servidoras/es públicos de la Unidad de Planeación Minero Energética</t>
  </si>
  <si>
    <t>Contratación directa - Contratos interadministrativos</t>
  </si>
  <si>
    <t>110-16</t>
  </si>
  <si>
    <t>110-16 Prestar los servicios profesionales para apoyar la apropiación del proceso de selección y vinculación de los servidores públicos de la UPME, así como la dimensión del Talento Humano en el componente de gestión de conocimiento.</t>
  </si>
  <si>
    <t>110-17</t>
  </si>
  <si>
    <t>110-17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</si>
  <si>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110-18</t>
  </si>
  <si>
    <t>110-18 Prestar los servicios profesionales en la estructuración, consolidación y presentación del estudio técnico, proyectos de actos administrativos y los anexos requeridos por el Departamento Administrativo de la Función Pública DAFP y prestar el apoyo jurídico requerido, en el marco de la segunda fase del proceso de modernización de la UPME</t>
  </si>
  <si>
    <t>110-19</t>
  </si>
  <si>
    <t>110-19 Contratar el suministro de una solución tecnológica integral en la modalidad de software como servicio (SaaS), que permita la gestión unificada de los procesos de nómina, recursos humanos, administración de contratistas, y el control de bienes y servicios de la entidad.</t>
  </si>
  <si>
    <t>Agosto</t>
  </si>
  <si>
    <t>Seléccion abreviada - acuerdo marco</t>
  </si>
  <si>
    <t>110-20</t>
  </si>
  <si>
    <t>Software - Licencias</t>
  </si>
  <si>
    <t>110-20 Adquirir el licenciamiento de las herramientas colaborativas en nube para la UPME</t>
  </si>
  <si>
    <t>Eric Mauricio Vargas Forero</t>
  </si>
  <si>
    <t>Jefe Oficina de Tecnologias de la Informacion</t>
  </si>
  <si>
    <t>eric.vargas@upme.gov.co</t>
  </si>
  <si>
    <t>110-21</t>
  </si>
  <si>
    <t>110-21 Prestar los servicios profesionales para asistir y acompañar la gestión de la dimensión del Talento Humano, en su componente de selección, vinculación capacitación, gestión del Conocimiento, así como apoyar lo inherente a Evaluación de Desempeño, Evaluación de la Gestión Institucional y Acuerdos de Gestión.</t>
  </si>
  <si>
    <t>Katherine Perez</t>
  </si>
  <si>
    <t>katherine.perez@upme.gov.co</t>
  </si>
  <si>
    <t>110-22</t>
  </si>
  <si>
    <t>110-22  Prestar servicios profesionales orientados a fortalecer la gestión de la provisión de las vacantes, proceso de vinculación e inducción de los servidores públicos, así como el apoyo en el seguimiento de los planes de talento humano de la UPME</t>
  </si>
  <si>
    <t>Contratación directa</t>
  </si>
  <si>
    <t>Katherin Perez</t>
  </si>
  <si>
    <t xml:space="preserve">Coordinadora GITTH </t>
  </si>
  <si>
    <t>110-23</t>
  </si>
  <si>
    <t>110-23 Prestar servicios de apoyo técnico y administrativo a la Secretaria General y al Grupo Interno de Trabajo de Talento Humano de la UPME, en el desarrollo y ejecución de los procesos transversales del área, tales como gestión documental, actualización de bases de datos, seguimiento a actividades del plan de bienestar, inducción y reinducción, capacitaciones, seguridad y salud en el trabajo, así como demás actividades que se requieran para el cumplimiento de los objetivos institucionales en materia de gestión del talento humano.</t>
  </si>
  <si>
    <t>110-24</t>
  </si>
  <si>
    <t>110-24  Prestar servicios profesionales para el desarrollo transversal del procedimiento de gestión contractual de la Unidad de Planeación Minero Energética.</t>
  </si>
  <si>
    <t>Angela Lobo</t>
  </si>
  <si>
    <t xml:space="preserve">Coordinadora GIT Contractual </t>
  </si>
  <si>
    <t>angela.lobo@upme.gov.co</t>
  </si>
  <si>
    <t>110-25</t>
  </si>
  <si>
    <t>110-25  Prestar servicios profesionales para el desarrollo transversal del procedimiento de gestión contractual de la Unidad de Planeación Minero Energética.</t>
  </si>
  <si>
    <t>110-26</t>
  </si>
  <si>
    <t>110-26 Prestación de servicios profesionales en asesoría y apoyo jurídico para los planes transversales del Grupo Interno de Trabajo de Talento Humano de la entidad.</t>
  </si>
  <si>
    <t>110-27</t>
  </si>
  <si>
    <t>110-27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</si>
  <si>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Veronica Tabares Muñoz</t>
  </si>
  <si>
    <t>Jefe Oficina Asesora de Planeación</t>
  </si>
  <si>
    <t>veronica.tabares@upme.gov.co</t>
  </si>
  <si>
    <t>110-28</t>
  </si>
  <si>
    <t>110-28 Prestar servicios profesionales en las actividades relacionadas con el proceso de gestión contractual de la entidad, en especial, las derivadas del proyecto de inversión "Fortalecimiento de la percepción de la ciudadanía frente a los productos y servicios prestados por la UPME Nacional", y que, con ello, permita el cumplimiento de los objetivos y productos del mismo.</t>
  </si>
  <si>
    <t>110-29</t>
  </si>
  <si>
    <t>110-29 Prestar servicios de apoyo a la gestión mediante el soporte operativo y documental requerido para la organización, control y archivo de los procesos administrativos del GIT de Gestión del Talento Humano, para el fortalecimiento de la percepción ciudadana frente a los productos y servicios de la UPME y contribuyendo al cumplimiento oportuno y eficiente de las funciones del área.</t>
  </si>
  <si>
    <t>septiembre</t>
  </si>
  <si>
    <t>Octubre</t>
  </si>
  <si>
    <t>110-30</t>
  </si>
  <si>
    <t>110-30 Prestar servicios profesionales para la gestión jurídica de asuntos de competencia de la Oficina Asesora Jurídica y la Secretaría general de la UPME, y lo que de ello se derive, en el marco del proyecto de inversión "Fortalecimiento de la percepción ciudadana frente a los productos y servicios prestados por la UPME Nacional".</t>
  </si>
  <si>
    <t xml:space="preserve">Contratación directa- prestación de servicios profesionales </t>
  </si>
  <si>
    <t>Carolina Barrera</t>
  </si>
  <si>
    <t>110-31</t>
  </si>
  <si>
    <t>110-31 Prestar servicios de apoyo a la gestión de los procesos y procedimientos de competencia de la Oficina Asesora Jurídica y la Secretaría general de la UPME, , en el marco del proyecto de inversión "Fortalecimiento de la percepción ciudadana frente a los productos y servicios prestados por la UPME Nacional".</t>
  </si>
  <si>
    <t>Oficina Asesora de Planeación</t>
  </si>
  <si>
    <t>101-1</t>
  </si>
  <si>
    <t>1 - Mejorar el direccionamiento estratégico y la gestión de los procesos frente a la ciudadanía.</t>
  </si>
  <si>
    <t>5 - DOCUMENTOS DE PLANEACIÓN</t>
  </si>
  <si>
    <t>Realizar la formulación de políticas, estrategias, proyectos y planes encaminadas a lograr los objetivos institucionales en desarrollo de su misión</t>
  </si>
  <si>
    <t>C-2199-1900-4-53105B-2199056-02</t>
  </si>
  <si>
    <t>101-1 Prestar servicios profesionales para apoyar la formulación, actualización y seguimiento de los proyectos de inversión, así como la elaboración de las herramientas para la elaboración de los informes solicitados por las partes interesadas del proceso de direccionamiento estratégico de la UPME.</t>
  </si>
  <si>
    <t>Diego Armando Vanegas Páez</t>
  </si>
  <si>
    <t>Jefe de Oficina Asesora</t>
  </si>
  <si>
    <t>diego.vanegas@upme.gov.co</t>
  </si>
  <si>
    <t>101-2</t>
  </si>
  <si>
    <t>101-2 Prestar servicios profesionales para el registro de datos, apoyo a la elaboración de reportes en herramientas y sistemas de información requeridos por la Oficina Asesora de Planeación de la UPME.</t>
  </si>
  <si>
    <t>101-3</t>
  </si>
  <si>
    <t>101-3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</si>
  <si>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101-4</t>
  </si>
  <si>
    <t>Realizar la programación y seguimiento a la ejecución de las políticas, estrategias, los planes y proyectos institucionales</t>
  </si>
  <si>
    <t>101-4 Prestar servicios profesionales para monitorear y gestionar los riesgos de la Entidad e identificar, analizar y valorar los asociados al Sistema de Administración del Riesgo de Lavado de Activos y de la Financiación del Terrorismo – SARLAFT aplicables para la UPME y los que se encuentren dentro del marco del Programa de Transparencia y Ética Pública (PTEP).</t>
  </si>
  <si>
    <t>101-5</t>
  </si>
  <si>
    <t>101-5 Prestar servicios profesionales orientados al fortalecimiento de la dimensión de control interno a través de la ejecución del plan anual de auditorías con énfasis en la evaluación y seguimiento de recursos financieros de la UPME.</t>
  </si>
  <si>
    <t>Gerardo Calderón Lemus</t>
  </si>
  <si>
    <t>Asesor Control Interno Dirección General</t>
  </si>
  <si>
    <t>gerardo.calderon@upme.gov.co</t>
  </si>
  <si>
    <t>101-6</t>
  </si>
  <si>
    <t>101-6 Prestar servicios profesionales orientados al fortalecimiento de la política de control interno mediante la ejecución del plan anual de auditorías con énfasis en la gestión administrativa de la UPME.</t>
  </si>
  <si>
    <t>101-7</t>
  </si>
  <si>
    <t xml:space="preserve">101-7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        </t>
  </si>
  <si>
    <t>Dias</t>
  </si>
  <si>
    <t>101-8</t>
  </si>
  <si>
    <t xml:space="preserve">101-8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	</t>
  </si>
  <si>
    <t>101-9</t>
  </si>
  <si>
    <t>101-9 Contratar los servicios de auditoría interna al Sistema de Gestión Institucional de la UPME, con el propósito de validar el grado de cumplimiento de los requisitos establecidos en la Norma Técnica Colombiana NTC ISO 9001:2015 para los procesos incluidos en el alcance del sistema, así como verificar el cumplimiento del Sistema de Seguridad y Salud en el Trabajo, según lo dispuesto en el Decreto 1072 de 2015 y la Resolución 0312 de 2019.</t>
  </si>
  <si>
    <t>101-10</t>
  </si>
  <si>
    <t>101-10 Prestar servicios profesionales para apoyar la formulación y estructuración de proyectos de inversión pública, aplicando la metodología de marco lógico y brindando acompañamiento integral durante todo el proceso.</t>
  </si>
  <si>
    <t>101-11</t>
  </si>
  <si>
    <t>101-11 Prestar servicios profesionales especializados para apoyar la implementación, fortalecimiento y mantenimiento del Sistema de Gestión Institucional, así como para promover la apropiación y ejecución efectiva del Modelo Integrado de Planeación y Gestión (MIPG) en la entidad.</t>
  </si>
  <si>
    <t>Contratación directa - Contratos menor cuantía</t>
  </si>
  <si>
    <t>101-12</t>
  </si>
  <si>
    <t>Software - Nube pública o privada</t>
  </si>
  <si>
    <t>101-12 Renovar la suscripción del sistema de información para la integración y administración de la planeación institucional y de los sistemas de gestión de la Unidad de Planeación Minero Energética.</t>
  </si>
  <si>
    <t>Noviembre</t>
  </si>
  <si>
    <t>Contratación directa - único oferente</t>
  </si>
  <si>
    <t>101-13</t>
  </si>
  <si>
    <t>1 - SERVICIO DE IMPLEMENTACIÓN SISTEMAS DE GESTIÓN</t>
  </si>
  <si>
    <t>Planificar y coordinar la apropiación e implementación del MIPG</t>
  </si>
  <si>
    <t>C-2199-1900-4-53105B-2199062-02</t>
  </si>
  <si>
    <t>101-13 Prestar los servicios profesionales para asesorar la implementación y mantenimiento del Sistema de Gestión Institucional y la apropiación e implementación del Modelo Integrado de Planeación y Gestión- MIPG.</t>
  </si>
  <si>
    <t>101-14</t>
  </si>
  <si>
    <t>101-14 Renovar la suscripción del sistema de información para la integración y administración de la planeación institucional y de los sistemas de gestión de la Unidad de Planeación Minero Energética.</t>
  </si>
  <si>
    <t>101-15</t>
  </si>
  <si>
    <t>101-15 Prestar los servicios para realizar ejercicio de pre auditoría de certificación y la auditoría de certificación de los sistemas de gestión implementados en la UPME.</t>
  </si>
  <si>
    <t>101-16</t>
  </si>
  <si>
    <t>Realizar acciones que faciliten la articulación de los instrumentos de planeación, de cara a la mejora de los productos y servicios prestados a la ciudadanía</t>
  </si>
  <si>
    <t>101-16 Prestar servicios profesionales para el seguimiento y reporte de los planes e indicadores de gestión del Modelo Integrado de Planeación y Gestión en el marco del Sistema de Gestión Institucional</t>
  </si>
  <si>
    <t>101-17</t>
  </si>
  <si>
    <t>101-17 Prestar servicios profesionales para el diseño de los procesos definidos en el nuevo modelo operativo de la UPME y los elementos (caracterizaciones, documentación, normatividad, indicadores de gestión, roles y comunicaciones, otros) que los integran.</t>
  </si>
  <si>
    <t>101-18</t>
  </si>
  <si>
    <t>101-18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</si>
  <si>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101-19</t>
  </si>
  <si>
    <t>3 - DOCUMENTOS METODOLÓGICOS</t>
  </si>
  <si>
    <t>Realizar la implementación de un esquema organizativo y de gobernabilidad para la gestión del conocimiento</t>
  </si>
  <si>
    <t>80101511;80111501;80111504</t>
  </si>
  <si>
    <t>Consultoría</t>
  </si>
  <si>
    <t>101-19 Prestar servicios de consultoría para orientar a la Unidad de Planeación Minero Energética (UPME) en la implementación, evaluación y mejora del Modelo de Gestión del Conocimiento e Innovación (Gesco+i), con el objetivo de fortalecer la cultura organizacional, optimizar la gestión del conocimiento clave, y promover la innovación dentro de la entidad.</t>
  </si>
  <si>
    <t>101-20</t>
  </si>
  <si>
    <t>101-20 Prestar servicios profesionales para el registro de datos, apoyo a la elaboración de reportes en herramientas y sistemas de información requeridos por la Oficina Asesora de Planeación de la UPME.</t>
  </si>
  <si>
    <t xml:space="preserve">Contratación directa - Prestación de servicios profesionales </t>
  </si>
  <si>
    <t>101-21</t>
  </si>
  <si>
    <t>101-21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t>
  </si>
  <si>
    <t>101-22</t>
  </si>
  <si>
    <t>101-22 Adquirir el licenciamiento de las herramientas colaborativas en nube para la UPME</t>
  </si>
  <si>
    <t>101-23</t>
  </si>
  <si>
    <t>101-23 Adquirir el licenciamiento de las herramientas colaborativas en nube para la UPME</t>
  </si>
  <si>
    <t>101-24</t>
  </si>
  <si>
    <t>101-24 Prestar servicios profesionales para la gestión, implementación y mejora de la Política Integral de la Administración del Riesgo de la Unidad de Planeación Minero-Energética (UPME), que incluye la identificación, valoración, evaluación, monitoreo, seguimiento y comunicación de los riesgos en las tipologías establecidas por la Departamento de la Función Pública (DAFP), con el fin de prevenir su materialización y asegurar el cumplimiento de los objetivos institucionales.</t>
  </si>
  <si>
    <t>Verónica Tabares Muñoz</t>
  </si>
  <si>
    <t>101-25</t>
  </si>
  <si>
    <t>101-25 Prestar servicios profesionales para el diseño de los procesos definidos en el nuevo modelo operativo de la UPME y los elementos (caracterizaciones, documentación, normatividad, indicadores de gestión, roles y comunicaciones, otros) que los integran.</t>
  </si>
  <si>
    <t>101-26</t>
  </si>
  <si>
    <t>101-26 Prestar servicios profesionales especializados para apoyar la implementación, fortalecimiento y mantenimiento del Sistema de Gestión Institucional, así como para promover la apropiación y ejecución efectiva del Modelo Integrado de Planeación y Gestión (MIPG) en la entidad.</t>
  </si>
  <si>
    <t>101-27</t>
  </si>
  <si>
    <t>101-27 Prestar servicios profesionales para apoyar la formulación y estructuración de proyectos de inversión pública, aplicando la metodología de marco lógico y brindando acompañamiento integral durante todo el proceso.</t>
  </si>
  <si>
    <t>Oficina de Gestión de Proyectos de Fondos</t>
  </si>
  <si>
    <t>Fondos</t>
  </si>
  <si>
    <t>180-1</t>
  </si>
  <si>
    <t>1 - Mejorar la capacidad de los interesados en formular proyectos de inversión en el sector energético.</t>
  </si>
  <si>
    <t>2 - SERVICIO DE ASISTENCIA TÉCNICA</t>
  </si>
  <si>
    <t>Capacitar interesados en la presentación de proyectos de inversión</t>
  </si>
  <si>
    <t>C-2102-1900-5-53106A-2102071-02</t>
  </si>
  <si>
    <t>Viáticos y gastos de viaje</t>
  </si>
  <si>
    <t>180-1 Pago de viáticos y gastos de desplazamiento para el Mejoramiento de la participación ciudadana en el modelo energético y de infraestructura energética, en el marco de la transición energética justa a nivel nacional.</t>
  </si>
  <si>
    <t>Contratación régimen especial (con ofertas)  - Régimen especial</t>
  </si>
  <si>
    <t>Maximiliano Bueno López</t>
  </si>
  <si>
    <t>Jefe Oficina Gestión de Proyectos de Fondos</t>
  </si>
  <si>
    <t>maximilianobueno@upme.gov.co</t>
  </si>
  <si>
    <t>180-2</t>
  </si>
  <si>
    <t>Capacitar organizaciones y usuarios en general en las regiones</t>
  </si>
  <si>
    <t>Operador logístico</t>
  </si>
  <si>
    <t>180-2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</si>
  <si>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maximiliano.bueno@upme.gov.co</t>
  </si>
  <si>
    <t>180-3</t>
  </si>
  <si>
    <t>2 - DOCUMENTOS DE LINEAMIENTOS TÉCNICOS</t>
  </si>
  <si>
    <t>Documento con la descripción de procesos, métodos y herramientas</t>
  </si>
  <si>
    <t>C-2102-1900-5-53106A-2102008-02</t>
  </si>
  <si>
    <t>180-3 Prestar servicios profesionales orientados al fortalecimiento de la dimensión de control interno a través de la ejecución del plan  anual de auditorías con énfasis en la evaluación y seguimiento de recursos financieros de la UPME.</t>
  </si>
  <si>
    <t>180-4</t>
  </si>
  <si>
    <t>180-4 Prestar servicios profesionales orientados al fortalecimiento de la política de control interno mediante la ejecución del plan  anual de auditorías con énfasis en la gestión administrativa de la UPME.</t>
  </si>
  <si>
    <t>180-5</t>
  </si>
  <si>
    <t>180-5 Contratar consultoría para elaborar un módulo para un curso virtual de socialización y capacitación sobre los fondos de apoyo financiero del MME.</t>
  </si>
  <si>
    <t>180-6</t>
  </si>
  <si>
    <t>Documento con los resultados de las validaciones</t>
  </si>
  <si>
    <t>180-6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</si>
  <si>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180-7</t>
  </si>
  <si>
    <t>180-7 Prestar los servicios profesionales para brindar asesoría en los asuntos relacionados con la planeación estratégica, procesos contractuales y administrativos que adelante la Oficina de Gestión de Proyectos de Fondos de la UPME.</t>
  </si>
  <si>
    <t>180-8</t>
  </si>
  <si>
    <t>180-8 Prestar servicios profesionales para asesorar a la Oficina de Gestión de Proyectos de Fondos (OGPF) en metodologías de evaluación de proyectos de ampliación de cobertura de gas combustible asignados a la UPME para acudir a recursos de los distintos Fondos y Mecanismos de Cofinanciación.</t>
  </si>
  <si>
    <t>180-9</t>
  </si>
  <si>
    <t>180-9 Prestar los servicios profesionales para apoyar la gestión de bases de datos, sistemas de información y el seguimiento de la gestión del tramites automatizados mediante plataformas asociados a la Oficina de Gestión de Proyectos de Fondos de la Unidad de planeación minero energetica.</t>
  </si>
  <si>
    <t>180-10</t>
  </si>
  <si>
    <t>180-10 Prestar los servicios profesionales para asesorar a la Oficina de Gestión de Proyectos de Fondos en asuntos relacionados con la planeación energética y en la evaluación integral de proyectos de fondos de energia eléctrica y gas combustible.</t>
  </si>
  <si>
    <t>180-11</t>
  </si>
  <si>
    <t>180-11 Prestar los servicios profesionales para la revisión, validación y emisión de los conceptos técnicos y financieros de los proyectos energéticos que solicitan recursos a la Financiera de Desarrollo Territorial FINDETER y de los demás fondos y mecanismos de financiación evaluados por la Unidad de Planeación Minero Energética.</t>
  </si>
  <si>
    <t>180-12</t>
  </si>
  <si>
    <t>180-12 Prestar los servicios profesionales para realizar la emisión de conceptos de los proyectos que solicitan recursos al Sistema General de regalías (SGR) en energía eléctrica y tecnologías renovables, así como los demás mecanismos y fondos de financiación revisados por la Unidad de Planeación Minero Energética.</t>
  </si>
  <si>
    <t>180-13</t>
  </si>
  <si>
    <t>180-13 Prestar los servicios profesionales para realizar la emisión de conceptos de los proyectos que solicitan recursos al mecanismo de Obras por impuesto y a los demás mecanismos y fondos de financiación revisados por la Unidad de Planeación Minero Energética.</t>
  </si>
  <si>
    <t>180-14</t>
  </si>
  <si>
    <t>180-14 Prestar los servicios profesionales para la revisión, validación y la emisión de los conceptos  técnicos y financieros de los proyectos que solicitan recursos al Fondo de Apoyo Financiero para la Energización de las Zonas Rurales Interconectadas (FAER)  y de los demás fondos y mecanismos de financiación evaluados por la Unidad de Planeación Minero Energética.</t>
  </si>
  <si>
    <t>180-15</t>
  </si>
  <si>
    <t>180-15 Prestar los servicios profesionales para realizar la emisión de conceptos de los proyectos que solicitan recursos al Sistema Generar de Regalias (SGR) y a los demás mecanismos y fondos de financiación revisados por la Unidad de Planeación Minero Energética.</t>
  </si>
  <si>
    <t>180-16</t>
  </si>
  <si>
    <t>180-16 Prestar los servicios profesionales para realizar la emisión de conceptos de los proyectos que solicitan recursos al Sistema Generar de Regalias (SGR) y a los demás mecanismos y fondos de financiación revisados por la Unidad de Planeación Minero Energética.</t>
  </si>
  <si>
    <t>180-17</t>
  </si>
  <si>
    <t>180-17 Prestar los servicios profesionales para realizar la emisión de conceptos de los proyectos que solicitan recursos al Sistema Generar de Regalias (SGR) y a los demás mecanismos y fondos de financiación revisados por la Unidad de Planeación Minero Energética.</t>
  </si>
  <si>
    <t>180-18</t>
  </si>
  <si>
    <t>180-18 Prestar los servicios profesionales para realizar la emisión de conceptos de los proyectos que solicitan recursos al Programa de Sustitución de Leña (PSL) y a los demás mecanismos y fondos de financiación revisados por la Unidad de Planeación Minero Energética.</t>
  </si>
  <si>
    <t>180-19</t>
  </si>
  <si>
    <t>180-19 Prestar servicios profesionales para la articulación entre la Oficina de Fondos y la Dirección General en el marco de la implementación de la estrategia de participación y comunicación fortaleciendo capacidades para una planeación minero energética participativa</t>
  </si>
  <si>
    <t>180-20</t>
  </si>
  <si>
    <t xml:space="preserve">180-20 Gastos de nómina Planta Temporal </t>
  </si>
  <si>
    <t>180-21</t>
  </si>
  <si>
    <t>180-21 Alquilar espacios de oficina (coworking) en virtud del proyecto de modernización organizacional para la Unidad de Planeación Minero Energética.</t>
  </si>
  <si>
    <t>180-22</t>
  </si>
  <si>
    <t>180-22 Prestar servicios de apoyo en la creación y diseño de productos gráficos innovadores para contenido digital e impreso, con el fin de contribuir a la gestión de comunicación interna y externa de la UPME.</t>
  </si>
  <si>
    <t>180-23</t>
  </si>
  <si>
    <t>180-23 Prestar servicios profesionales para las actividades de free press de la Unidad de Planeación Minero Energética- UPME, con énfasis en la estrategia de articulación intra e intersectorial para la planificación del desarrollo minero-energético, en el marco del proyecto Enfoque Territorial y la Dirección General.</t>
  </si>
  <si>
    <t>180-24</t>
  </si>
  <si>
    <t>Software- Licencias</t>
  </si>
  <si>
    <t xml:space="preserve">180-24 Adquirir el licenciamiento de las herramientas colaborativas en nube para la UPME.		</t>
  </si>
  <si>
    <t>180-25</t>
  </si>
  <si>
    <t xml:space="preserve">180-25 Prestar los servicios profesionales para la evaluación, validación y emisión de los conceptos técnicos y financieros de los proyectos energéticos presentados a los mecanismos y/o fondos para el acceso a recursos del sector minas y energia que son conceptuados por la Oficina de Gestion de Proyectos de Fondos (OGPF) de la Unidad de Planeación Minero Energética (UPME)                                 </t>
  </si>
  <si>
    <t>Manuel Peña Suarez</t>
  </si>
  <si>
    <t>manuel.pena@upme.govco</t>
  </si>
  <si>
    <t>180-26</t>
  </si>
  <si>
    <t xml:space="preserve">180-26 Prestar los servicios profesionales para realizar la emisión de conceptos de los diferentes proyectos de energía eléctrica y gas combustible revisados por la Unidad de Planeación Minero Energética (UPME) que solicitan recursos a los fondos de apoyo financiero del Ministerio de Minas y Energía (MME).                                        </t>
  </si>
  <si>
    <t>180-27</t>
  </si>
  <si>
    <t>180- 27 Prestar servicios profesionales para realizar la emisión de conceptos de los proyectos del sector de gas combustible y apoyar la evaluación de los componentes sociales y ambientales de proyectos presentados a fondos o mecanismos de financiación evaluados por la Oficina de Gestión de Proyectos de Fondos de la Unidad de Planeación Minero Energética (UPME).</t>
  </si>
  <si>
    <t xml:space="preserve">Junio </t>
  </si>
  <si>
    <t xml:space="preserve">Julio </t>
  </si>
  <si>
    <t>180-28</t>
  </si>
  <si>
    <t>180-28 Prestar los servicios profesionales para la evaluación y emisión de los conceptos técnicos y financieros de los proyectos energéticos presentados a los mecanismos y/o fondos para el acceso a recursos del sector minas y energia que son conceptuados por la Oficina de Gestion de Proyectos de Fondos (OGPF) de la Unidad de Planeación Minero Energética (UPME)</t>
  </si>
  <si>
    <t>180-29</t>
  </si>
  <si>
    <t>180-29 Prestar los servicios profesionales para la evaluación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</si>
  <si>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180-30</t>
  </si>
  <si>
    <t>180-30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</si>
  <si>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180-31</t>
  </si>
  <si>
    <t>180-31 Prestar los servicios profesionales para la evaluación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</si>
  <si>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180-32</t>
  </si>
  <si>
    <t>180-32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</si>
  <si>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180-33</t>
  </si>
  <si>
    <t>180-33 Prestar los servicios profesionales para la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</si>
  <si>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180-34</t>
  </si>
  <si>
    <t>180-34 Prestar los servicios profesionales para la evaluación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</si>
  <si>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180-35</t>
  </si>
  <si>
    <t>180-35 Prestar los servicios profesionales para la evaluación, validación y emisión de los conceptos técnicos y financieros emitidos por la Oficina de Gestión de Proyectos de Fondos (OGPF) relacionados con los proyectos energéticos presentados a los diferentes mecanismos y/o fondos para el acceso a recursos del sector minas y energía.</t>
  </si>
  <si>
    <t>180-36</t>
  </si>
  <si>
    <t>180-36 Prestar los servicios profesionales para la evaluación, validación y emisión de los conceptos técnicos y financieros emitidos por la Oficina de Gestión de Proyectos de Fondos (OGPF) relacionados con los proyectos energéticos presentados a los diferentes mecanismos y/o fondos para el acceso a recursos del sector minas y energía.</t>
  </si>
  <si>
    <t>180-37</t>
  </si>
  <si>
    <t>180-37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</si>
  <si>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180-38</t>
  </si>
  <si>
    <t>180-38 Prestar servicios profesionales para realizar el desarrollo de la automatización del proceso de evaluación de proyectos de la Oficina de Gestión de Proyectos de Fondos, mediante el desarrollo y ajuste de la herramienta tecnológica destinada al trámite, en atención a los requerimientos funcionales definidos por la entidad.</t>
  </si>
  <si>
    <t>180-39</t>
  </si>
  <si>
    <t>180-39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</si>
  <si>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180-40</t>
  </si>
  <si>
    <t>180-40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</si>
  <si>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Oficina de Tecnología de la Información</t>
  </si>
  <si>
    <t>TIC</t>
  </si>
  <si>
    <t>130-1</t>
  </si>
  <si>
    <t>1 - Incrementar el desarrollo de los habilitadores transversales de la política de gobierno digital.</t>
  </si>
  <si>
    <t>1 - DOCUMENTO PARA LA PLANEACIÓN ESTRATÉGICA EN TI</t>
  </si>
  <si>
    <t>Definir y estructurar las acciones tendientes a la apropiación e implementación de la política de Gobierno Digital</t>
  </si>
  <si>
    <t>C-2199-1900-5-53105B-2199066-02</t>
  </si>
  <si>
    <t>130-1 Prestar servicios profesionales en el habilitador de la política de gobierno digital relacionado con servicios ciudadanos digitales, para el mantenimiento de los procesos automatizados en el BPMS, implementados por la UPME, de acuerdo con los requerimientos y prioridad que se defina en el Plan Estratégico de Tecnologías de la Información.</t>
  </si>
  <si>
    <t>130-2</t>
  </si>
  <si>
    <t>Mantener y fortalecer el modelo Operativo de TI</t>
  </si>
  <si>
    <t>130-2 Prestar servicios profesionales para la administración de las herramientas de seguridad perimetral de la UPME y en la elaboración de Conceptos Técnicos, lineamientos, políticas y demás documentación, relacionada con el Dominio de Arquitectura de Seguridad Digital para la Unidad de Planeación Minero Energética.</t>
  </si>
  <si>
    <t>130-3</t>
  </si>
  <si>
    <t>130-3 Prestar servicios profesionales para el desarrollo y/o ajuste de aplicaciones web, servicios web y/o APIS, permitiendo fortalecer la interoperabilidad y los sistemas de información de la entidad.</t>
  </si>
  <si>
    <t>130-4</t>
  </si>
  <si>
    <t>130-4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</si>
  <si>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130-5</t>
  </si>
  <si>
    <t>130-5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</si>
  <si>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130-6</t>
  </si>
  <si>
    <t>2 - Aumentar la capacidad institucional a nivel de arquitectura tecnológica y de sistemas de información.</t>
  </si>
  <si>
    <t>1 - SERVICIOS TECNOLÓGICOS</t>
  </si>
  <si>
    <t>Robustecer el nivel de madurez de la estrategia de infraestructura y soluciones en la nube</t>
  </si>
  <si>
    <t>C-2199-1900-5-53105B-2199067-02</t>
  </si>
  <si>
    <t>130-6 Prestar servicios profesionales para la actualización del dominio de arquitectura de infraestructura TI de la UPME articulándola con las definiciones de arquitectura del sector y con los demás dominios de arquitectura establecidos en la Entidad.</t>
  </si>
  <si>
    <t>130-7</t>
  </si>
  <si>
    <t>130-7 Prestar servicios de apoyo a la gestión para la atención de los requerimientos e incidencias relacionadas con la operación de las Tecnologías de la Información de la entidad, aplicando buenas prácticas en la gestión de servicios de TI.</t>
  </si>
  <si>
    <t>130-8</t>
  </si>
  <si>
    <t>130-8 Prestar servicios de apoyo a la gestión en la mesa de servicio para atender, registrar, clasificar y dar solución de primer nivel a los requerimientos e incidencias tecnológicas reportadas por los usuarios, bajo las buenas prácticas ITIL y los procedimientos establecidos para la gestión de servicios de TI.</t>
  </si>
  <si>
    <t>130-9</t>
  </si>
  <si>
    <t>130-9 Prestar servicios profesionales para apoyar en la gestion de la mesa de servicio, medicion de indicadores y atencion de solicitudes e indicencias de los servicios tecnologicos de la UPME.</t>
  </si>
  <si>
    <t>130-10</t>
  </si>
  <si>
    <t>130-10 Prestar servicios profesionales para la solución de problemas o incidentes presentados sobre los sistemas de información implementados en la UPME o en la plataforma tecnológica que los soportan.</t>
  </si>
  <si>
    <t>130-11</t>
  </si>
  <si>
    <t>3 - Mejorar la implementación del modelo de Gestión de Información Institucional.</t>
  </si>
  <si>
    <t>1 - SERVICIOS DE INFORMACIÓN IMPLEMENTADOS</t>
  </si>
  <si>
    <t>Identificar y apropiar soluciones de TI</t>
  </si>
  <si>
    <t>C-2199-1900-5-53105B-2199065-02</t>
  </si>
  <si>
    <t>130-11 Prestar servicios profesionales para la creación de contenido, divulgación y socialización de los proyectos, planes y gestión de la UPME.</t>
  </si>
  <si>
    <t>130-12</t>
  </si>
  <si>
    <t>130-12 Prestar servicios de apoyo a la gestión para la UPME en la creación de productos audiovisuales para los diferentes canales de la entidad y necesidades del Plan Estratégico de Comunicaciones.</t>
  </si>
  <si>
    <t>130-13</t>
  </si>
  <si>
    <t>130-13 Prestar servicios de apoyo a la gestión para la UPME en la creación de productos audiovisuales para los diferentes canales de la entidad y necesidades del Plan Estratégico de Comunicaciones.</t>
  </si>
  <si>
    <t>130-14</t>
  </si>
  <si>
    <t>Administrar de manera eficiente el Software a nivel Institucional, de cara a la mejora de los productos y servicios prestados a la ciudadanía</t>
  </si>
  <si>
    <t>130-14 Prestar servicios profesionales para la implementación, mantenimiento, administración y aseguramiento de las bases de datos que soportan las aplicaciones o portales de la Entidad, garantizando su rendimiento, disponibilidad y capacidad de recuperación.</t>
  </si>
  <si>
    <t>130-15</t>
  </si>
  <si>
    <t>130-15 Prestar servicios profesionales para el seguimiento y control del Plan Estratégico, Plan de Acción y Proyecto de Inversión de la Oficina de Tecnologías de la Información, incluyendo el acompañamiento en la ejecución presupuestal, la gestión de procesos precontractuales y demás actividades administrativas, asegurando la eficiencia en la asignación de recursos y la optimización de procesos institucionales.</t>
  </si>
  <si>
    <t>130-16</t>
  </si>
  <si>
    <t>130-16 Prestar los servicios profesionales de acompañamiento jurídico en los asuntos de gestión precontractual, contractual y poscontractual de la Entidad en especial lo relacionado con la Oficina de Tecnologías de la Información.</t>
  </si>
  <si>
    <t>130-17</t>
  </si>
  <si>
    <t>130-17 Prestar servicios profesionales orientados al fortalecimiento de la dimensión de control interno a través de la ejecución del Plan Anual de Auditorías con énfasis en la evaluación y seguimiento de recursos financieros de la UPME.</t>
  </si>
  <si>
    <t>130-18</t>
  </si>
  <si>
    <t>130-18 Prestar servicios profesionales orientados al fortalecimiento de la política de control interno mediante la ejecución del Plan Anual de Auditorías con énfasis en la gestión administrativa de la UPME.</t>
  </si>
  <si>
    <t>130-19</t>
  </si>
  <si>
    <t>130-19 Prestar servicios profesionales para la actualización y administración del Modelo de Seguridad y Privacidad de la Información -MSPI-, de conformidad con la normatividad vigente.</t>
  </si>
  <si>
    <t>130-20</t>
  </si>
  <si>
    <t>130-20 Prestar servicios profesionales para el diseño e implementación de la Arquitectura de Sistemas de Información y la política de gobierno digital.</t>
  </si>
  <si>
    <t>130-21</t>
  </si>
  <si>
    <t>130-21 Prestar servicios de apoyo a la gestión para la atención de los requerimientos e incidencias relacionadas con la operación de las plataformas tecnológicas de cara a los ciudadanos y a los usuarios internos de la entidad.</t>
  </si>
  <si>
    <t>130-22</t>
  </si>
  <si>
    <t>130-22 Adquirir Certificado Wildcard SSL Multidominio para los servidores de la Unidad.</t>
  </si>
  <si>
    <t xml:space="preserve">Contratación directa </t>
  </si>
  <si>
    <t>130-23</t>
  </si>
  <si>
    <t>130-23 Adquirir el servicio de firmado digital incluyendo certificados de firma digital en el sistema de gestión documental de la UPME y los de función pública SIIF Nación (token) y un certificado de firma digital de persona jurídica para facturación electrónica.</t>
  </si>
  <si>
    <t>130-24</t>
  </si>
  <si>
    <t>Software- Suscripciones</t>
  </si>
  <si>
    <t>130-24 Adquirir la renovación de la suscripción anual del servicio especializado SolarWinds Hybrid Cloud Observability Advanced A250, destinada a la gestión y el monitoreo centralizado de la infraestructura tecnológica de la Entidad, con una capacidad para cubrir hasta doscientos cincuenta (250) nodos</t>
  </si>
  <si>
    <t>130-25</t>
  </si>
  <si>
    <t>130-25 Adquirir el servicio de ciberseguridad contra ransomware y el licenciamiento de la solución Endpoint con la que cuenta la UPME.</t>
  </si>
  <si>
    <t>130-26</t>
  </si>
  <si>
    <t>130-26 Renovar el licencimiento y soporte de solución de backup.</t>
  </si>
  <si>
    <t>130-27</t>
  </si>
  <si>
    <t>Software- Nube pública o privada</t>
  </si>
  <si>
    <t xml:space="preserve">130-27 Adquirir el servicio de nube para Backup y DRP                                                </t>
  </si>
  <si>
    <t>130-28</t>
  </si>
  <si>
    <t>Mantenimientos y/o mejoras</t>
  </si>
  <si>
    <t>130-28 Actualización y soporte del sistema de gestión documental de la Unidad, basado en ARGO/ORFEOGPL, para la Unidad de Planeación Minero Energética -UPME.</t>
  </si>
  <si>
    <t>130-29</t>
  </si>
  <si>
    <t>130-29 Contratar el suministro de una solución tecnológica integral en la modalidad de software como servicio (SaaS), que permita la gestión unificada de los procesos de nómina, recursos humanos, administración de contratistas, y el control de bienes y servicios de la entidad</t>
  </si>
  <si>
    <t>130-30</t>
  </si>
  <si>
    <t>130-30 Adquirir el licenciamiento de las herramientas colaborativas en nube para la UPME.</t>
  </si>
  <si>
    <t>130-31</t>
  </si>
  <si>
    <t>130-31 Adquirir el canal de backup junto con la renovacion del segmento de prefijo IPV6 ante LACNIC.</t>
  </si>
  <si>
    <t>130-32</t>
  </si>
  <si>
    <t>130-32 Actualizar y renovar el licenciamiento ESRI.</t>
  </si>
  <si>
    <t>130-33</t>
  </si>
  <si>
    <t>130-33 Contratar el servicio de plataforma cómo servicios PaaS de la herramienta Bizagi, así como la migración de los flujos de procesos de la UPME.</t>
  </si>
  <si>
    <t>130-34</t>
  </si>
  <si>
    <t>130-34 Contratar el servicio de plataforma cómo servicios PaaS de la herramienta Bizagi, así como la migración de los flujos de procesos de la UPME.</t>
  </si>
  <si>
    <t>130-35</t>
  </si>
  <si>
    <t>130-35 Adquirir el servicio de licenciamiento de Office 365 usado en la entidad.</t>
  </si>
  <si>
    <t>130-36</t>
  </si>
  <si>
    <t>130-36 Prestar servicios profesionales especializados para la administración y supervisión integral del entorno tecnológico, abarcando redes, servidores, sistemas y plataformas en la nube, lo que incluye la gestión eficiente de los recursos de TI, la optimización de operaciones, la atención y resolución de incidentes técnicos, así como la implementación de medidas de ciberseguridad que garanticen la continuidad y protección de los servicios tecnológicos de la entidad.</t>
  </si>
  <si>
    <t>130-37</t>
  </si>
  <si>
    <t>130-37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</si>
  <si>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130-38</t>
  </si>
  <si>
    <t>43233200;81111800;81111801;81112208</t>
  </si>
  <si>
    <t>130-38 Adquirir el licenciamiento de la solución con la que cuenta la UPME para la protección del correo electrónico, de la red de comunicaciones, y la integración con el Firewall Palo Alto.</t>
  </si>
  <si>
    <t>130-39</t>
  </si>
  <si>
    <t>130-39 Adquirir el licenciamiento de la solución con la que cuenta la UPME para la protección del correo electrónico, de la red de comunicaciones, y la integración con el Firewall Palo Alto.</t>
  </si>
  <si>
    <t>130-40</t>
  </si>
  <si>
    <t>43222501, 43222503, 43222504, 43222609, 43233205</t>
  </si>
  <si>
    <t>130-40 Contratar la solución de Security Gateway Edge para fortalecer la infraestructura de seguridad de la Entidad, con capacidades avanzadas que incluyen balanceo de servicios con DRP, firewall de aplicaciones avanzado, protección antibot, y mecanismos efectivos contra diversos vectores de ataque como inyecciones SQL, Cross-Site Scripting (XSS), Cross-Site Request Forgery (CSRF), Botnet y ataques DDoS</t>
  </si>
  <si>
    <t>130-41</t>
  </si>
  <si>
    <t>43231507;43232103;43232304;81112200;81112100</t>
  </si>
  <si>
    <t>130-41 Adquirir la suscripción de Power BI para la visualización de datos de la entidad.</t>
  </si>
  <si>
    <t>130-42</t>
  </si>
  <si>
    <t>130-42 Prestar servicios profesionales para impulsar la transformación digital de la UPME, mediante el desarrollo de nuevos proyectos de automatización de servicios ciudadanos digitales en Bizagi, alineados con la política de gobierno digital y el Plan Estratégico de TI</t>
  </si>
  <si>
    <t>Contratación régimen especial (con ofertas) - Régimen especial</t>
  </si>
  <si>
    <t>130-43</t>
  </si>
  <si>
    <t>130-43 Renovar, instalar, configurar y poner en funcionamiento una solución de seguridad firewall perimetral con características de NEXT GENERATION FIREWALL (NGFW).</t>
  </si>
  <si>
    <t>130-44</t>
  </si>
  <si>
    <t>130-44 Renovar, instalar, configurar y poner en funcionamiento una solución de seguridad firewall perimetral con características de NEXT GENERATION FIREWALL (NGFW).</t>
  </si>
  <si>
    <t>130-45</t>
  </si>
  <si>
    <t>Realizar la adopción del modelo de gestión de Información Institucional</t>
  </si>
  <si>
    <t>130-45 Adquirir la suscripción de Power BI para la visualización de datos de la entidad.</t>
  </si>
  <si>
    <t>130-46</t>
  </si>
  <si>
    <t>2 - Aumentar la capacidad institucional a nivel de arquitectura tecnológica y de sistemas de informaciòn</t>
  </si>
  <si>
    <t>130-46 Adquirir el canal de backup junto con la renovacion del segmento de prefijo IPV6 ante LACNIC.</t>
  </si>
  <si>
    <t>130-47</t>
  </si>
  <si>
    <t>1 - Incrementar el desarrollo de los habilitadores transversales de la política de gobierno digital</t>
  </si>
  <si>
    <t>130-47 Prestar servicios de apoyo a la gestión para asegurar la continuidad operativa y la atención eficiente de la Mesa de Servicios de la Entidad, a través del registro, diagnóstico, seguimiento hasta su cierre efectivo,  y/o escalamiento de requerimientos e incidencias, en estricto cumplimiento de los Acuerdos de Nivel de Servicio (ANS/SLA) y las buenas prácticas del sector definidas por la Entidad.</t>
  </si>
  <si>
    <t>130-48</t>
  </si>
  <si>
    <t>130-48 Adquirir paquete de bolsa de horas para soporte técnico especializado de consultoría – Kactus HCM.</t>
  </si>
  <si>
    <t>130-49</t>
  </si>
  <si>
    <t>Software - Suscripciones</t>
  </si>
  <si>
    <t xml:space="preserve">130-49 Adquirir la renovación de la suscripción anual del servicio especializado SolarWinds Hybrid Cloud Observability Advanced A250, destinada a la gestión y el monitoreo centralizado de la infraestructura tecnológica de la Entidad, con una capacidad para cubrir hasta doscientos cincuenta (250) nodos						</t>
  </si>
  <si>
    <t>130-50</t>
  </si>
  <si>
    <t>130-50 Prestar servicios profesionales para impulsar la transformación digital de la UPME, mediante el desarrollo de nuevos proyectos de automatización de servicios ciudadanos digitales en Bizagi, alineados con la política de gobierno digital y el Plan Estratégico de TI</t>
  </si>
  <si>
    <t>130-51</t>
  </si>
  <si>
    <t>130-51 Prestar servicios profesionales para la creación de contenido, divulgación y socialización de los proyectos, planes y gestión de la UPME</t>
  </si>
  <si>
    <t>130-52</t>
  </si>
  <si>
    <t>130-52 Adquirir el servicio de nube para Backup y DRP</t>
  </si>
  <si>
    <t>130-53</t>
  </si>
  <si>
    <t>130-53 Prestar servicios de apoyo a la gestión para asegurar la continuidad operativa y la atención eficiente de la Mesa de Servicios de la Entidad, a través del registro, diagnóstico, seguimiento hasta su cierre efectivo,  y/o escalamiento de requerimientos e incidencias, en estricto cumplimiento de los Acuerdos de Nivel de Servicio (ANS/SLA) y las buenas prácticas del sector definidas por la Entidad.</t>
  </si>
  <si>
    <t>130-54</t>
  </si>
  <si>
    <t>130-54 Prestar servicios profesionales como Gerente de Proyectos de TI en Gestión de Servicios, para liderar proyectos orientados a la implementación, ajuste y mejora del servicio al cliente interno y externo, asegurando la alineación de la mesa de servicios con el modelo ITIL, de conformidad con la Metodología para la Gestión de Proyectos de Tecnologías de la Información – MGGTI del Ministerio de Tecnologías de la Información y las Comunicaciones.</t>
  </si>
  <si>
    <t>130-55</t>
  </si>
  <si>
    <t>130-55  Actualización y soporte del sistema de gestión documental de la Unidad, basado en ARGO/ORFEOGPL, para la Unidad de Planeación Minero Energética -UPME.</t>
  </si>
  <si>
    <t>130-56</t>
  </si>
  <si>
    <t>130-56 Prestar servicios profesionales como Gerente de Proyectos de TI con enfoque en Seguridad de la Información, para liderar la planificación, ejecución y monitoreo de proyectos tecnológicos que involucren la protección de activos de información, la gestión de riesgos y la implementación de controles de ciberseguridad, de conformidad con la Metodología para la Gestión de Proyectos de Tecnologías de la Información – MGGTI del Ministerio de Tecnologías de la Información y las Comunicaciones.</t>
  </si>
  <si>
    <t>130-57</t>
  </si>
  <si>
    <t>130-57 Adquirir el servicio de firmado digital incluyendo certificados de firma digital en el sistema de gestión documental de la UPME y los de función pública SIIF Nación (token) y un certificado de firma digital de persona jurídica para facturación electrónica.</t>
  </si>
  <si>
    <t>130-58</t>
  </si>
  <si>
    <t>130-58 Prestar servicios profesionales en el habilitador de la política de gobierno digital relacionado con servicios ciudadanos digitales, para el mantenimiento de los procesos automatizados en el BPMS, implementados por la UPME, de acuerdo con los requerimientos y prioridad que se defina en el Plan Estratégico de Tecnologías de la Información.</t>
  </si>
  <si>
    <t>130-59</t>
  </si>
  <si>
    <t>130-59 Prestar servicios profesionales para la implementación, mantenimiento, administración y aseguramiento de las bases de datos que soportan las aplicaciones o portales de la Entidad, garantizando su rendimiento, disponibilidad y capacidad de recuperación.</t>
  </si>
  <si>
    <t>130-60</t>
  </si>
  <si>
    <t>130-60 Prestar servicios profesionales como Gerente de Proyectos para Sistemas de Información, para liderar el seguimiento a los proyectos de desarrollo y la implementación de software en la entidad, así como  planificar, ejecutar y monitorear el ciclo de vida de los sistemas de información, asegurando la calidad de los desarrollos y el cumplimiento de los requerimientos, de conformidad con la Metodología para la Gestión de Proyectos de Tecnologías de la Información – MGGTI del Ministerio de Tecnologías de la Información y las Comunicaciones.</t>
  </si>
  <si>
    <t>130-61</t>
  </si>
  <si>
    <t>130-61 Adquirir el servicio de nube para Backup y DRP</t>
  </si>
  <si>
    <t>Paola del Pilar Puerta</t>
  </si>
  <si>
    <t>pilar.puerta@upme.gov.co</t>
  </si>
  <si>
    <t>Subdirección de Energía Eléctrica</t>
  </si>
  <si>
    <t>Energía</t>
  </si>
  <si>
    <t>150-1</t>
  </si>
  <si>
    <t>1 - Aumentar señales de expansión y cobertura del servicio de energía eléctrica.</t>
  </si>
  <si>
    <t>2 - DOCUMENTOS DE PLANEACIÓN</t>
  </si>
  <si>
    <t>Documento de planeación validado</t>
  </si>
  <si>
    <t>C-2102-1900-6-40301C-2102009-02</t>
  </si>
  <si>
    <t>150-1 Prestar servicios profesionales a la Subdirección de Energía Eléctrica en el proceso, verificación y cumplimiento de requisitos legales y asuntos jurídicos misionales.</t>
  </si>
  <si>
    <t>Jose Lenin Morillo Carrillo</t>
  </si>
  <si>
    <t>Subdirector de Energía Eléctrica</t>
  </si>
  <si>
    <t>jose.morillo@upme.gov.co</t>
  </si>
  <si>
    <t>150-2</t>
  </si>
  <si>
    <t>150-2 Prestar servicios profesionales en asuntos jurídicos relacionados con la planeación del sector eléctrico, la asignación de capacidad de transporte y demás procesos administrativos de competencia de la Subdirección de Energía Eléctrica, y lo que de ello se derive.</t>
  </si>
  <si>
    <t>Contratación régimen especial - Régimen especial</t>
  </si>
  <si>
    <t>150-3</t>
  </si>
  <si>
    <t>150-3 Asesorar jurídicamente a la Subdirección de Energía Eléctrica en el proceso, verificación y cumplimiento de requisitos legales de las solicitudes de asignación de capacidad de transporte, respuestas asociadas y atención de acciones de carácter jurídico, en lo relacionado con la aplicación de la Resolución CREG 075 de 2021 y procedimientos relacionados con la expansión del sistema eléctrico.</t>
  </si>
  <si>
    <t>150-4</t>
  </si>
  <si>
    <t>150-4 Asesorar jurídicamente a la Subdirección de Energía Eléctrica en el proceso, verificación y cumplimiento de requisitos legales de las solicitudes de asignación de capacidad de transporte, respuestas asociadas y atención de acciones de carácter jurídico, en lo relacionado con la aplicación de la Resolución CREG 075 de 2021 y gestiones relacionadas con el trámite de conexiones y la gestión de las bases de datos de seguimiento.</t>
  </si>
  <si>
    <t>150-5</t>
  </si>
  <si>
    <t>150-5 Prestar los servicios profesionales para asesorar jurídicamente a la Subdirección de Energía Eléctrica en los procesos administrativos relacionados con los procedimientos, los procesos, los asuntos misionales, la emisión de los actos administrativos relacionados y lo que de ello se derive.</t>
  </si>
  <si>
    <t>150-6</t>
  </si>
  <si>
    <t>150-6 Prestar los servicios profesionales para asesorar jurídicamente a la Subdirección de Energía Eléctrica, en los procedimientos y actuaciones administrativas a su cargo.</t>
  </si>
  <si>
    <t>150-7</t>
  </si>
  <si>
    <t>150-7 Prestar servicios profesionales para la gestión jurídica de los trámites relacionados con los proyectos de Fuentes No Convencionales de Energía -FNCE y la Resolución CREG 075 de 2021, y lo que de ello se derive.</t>
  </si>
  <si>
    <t>150-8</t>
  </si>
  <si>
    <t>150-8 Prestar servicios de apoyo a la gestión de las labores de caracterización de los procesos y procedimientos jurídicos para el logro de objetivos institucionales de la UPME.</t>
  </si>
  <si>
    <t>150-9</t>
  </si>
  <si>
    <t>150-9 Prestar servicios profesionales para apoyar la gestión jurídica relacionada con las actuaciones administrativas misionales de la Subdirección de Energía Eléctrica, la respuesta oportuna a PQRS, la emisión de los respectivos actos administrativos y lo que de ello se derive.</t>
  </si>
  <si>
    <t>150-10</t>
  </si>
  <si>
    <t>150-10 Pago de viáticos y gastos de desplazamiento para el fortalecimiento de la planeación para reducir las limitaciones en la prestación del servicio de energía eléctrica y la atención plena de la demanda nacional.</t>
  </si>
  <si>
    <t>150-11</t>
  </si>
  <si>
    <t>150-11 Prestar los servicios profesionales para realizar el seguimiento y control de la planeación estratégica de la Subdirección de Energía Eléctrica, gestión de resultados, procesos contractuales, ejecución presupuestal, sistema de gestión de la calidad y seguimiento a la gestión documental de los procesos de transmisión, generación, convocatorias y cobertura.</t>
  </si>
  <si>
    <t>150-12</t>
  </si>
  <si>
    <t>150-12 Prestar los servicios profesionales para la preparación y divulgación de documentos de planeación, considerando el diseño, evaluación y análisis de la expansión de la generación y la transmisión nacional, regional y local, la cobertura del servicio de energía eléctrica, así como participar en la aplicación de las metodologías de evaluación y análisis económicos y tarifarios, gestión de información técnica, requisitos regulatorios y gestión de resultados.</t>
  </si>
  <si>
    <t>150-13</t>
  </si>
  <si>
    <t>150-13 Prestación de servicios de apoyo a la mesa de ayuda de los procesos que se llevan a cabo en la plataforma Bizagi, así como el procesamiento y resolución de peticiones, quejas y reclamos que se alleguen en el marco de las actividades desarrolladas por la subdireccion de energía eléctrica.</t>
  </si>
  <si>
    <t>150-14</t>
  </si>
  <si>
    <t>150-14 Prestación de servicios de apoyo para el procesamiento y resolución de peticiones, quejas y reclamos que se alleguen en el marco de las actividades desarrolladas por la subdireccion de energía eléctrica.</t>
  </si>
  <si>
    <t>150-15</t>
  </si>
  <si>
    <t>Tiquetes</t>
  </si>
  <si>
    <t>150-15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</si>
  <si>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150-16</t>
  </si>
  <si>
    <t>150-16 Prestar los servicios profesionales para realizar el seguimiento y control de los procesos contractuales, la ejecución presupuestal y demás actividades que se requieran para el cumplimiento de las metas y objetivos de la Subdirección de Energía Eléctrica, asociados a las iniciativas y proyectos de transmisión, generación, convocatorias y cobertura.</t>
  </si>
  <si>
    <t>150-17</t>
  </si>
  <si>
    <t>150-17 Prestar los servicios profesionales para el acompañamiento en los trámites relacionados con los procesos precontractuales y contractuales de la entidad, en especial lo que se derive en relación con la Subdirección de Energía Eléctrica.</t>
  </si>
  <si>
    <t>150-18</t>
  </si>
  <si>
    <t>150-18 Prestar servicios profesionales para realizar soporte y adecuación del BIZZAGI, apoyando los procesos de transmisión en la mesa de ayuda.</t>
  </si>
  <si>
    <t>150-19</t>
  </si>
  <si>
    <t>150-19 Realizar el soporte, adecuación, mantenimiento y desarrollo de las automatizaciones de procesos en BIZAGI y de los sistemas que soportan la operación de la Subdirección de Energía Eléctrica.</t>
  </si>
  <si>
    <t>150-20</t>
  </si>
  <si>
    <t>150-20 Realizar la compilación, verificación, análisis y gestión de la información relacionada con los procesos de cobertura del servicio de energía eléctrica, y apoyar la estimación del índice de cobertura ICEE y los análisis de soluciones.</t>
  </si>
  <si>
    <t>150-21</t>
  </si>
  <si>
    <t>150-21 Prestar servicios profesionales para la realización de acopio, organización y análisis de la información presentada a la Unidad por las distintas entidades y agentes para la obtención de estadísticas e indicadores que contribuyan a la universalización del servicio de energía eléctrica en el territorio nacional.</t>
  </si>
  <si>
    <t>150-22</t>
  </si>
  <si>
    <t>150-22 Prestar servicios profesionales para la realización de acopio, organización, validación y análisis de la información geográfica presentada a la Unidad para la elaboración del Plan Indicativo de Expansión de Cobertura de Energía Eléctrica – PIEC y para la obtención del certificado que debe emitir UPME en relación con los Planes de Expansión de Cobertura de los Operadores de Red.</t>
  </si>
  <si>
    <t>150-23</t>
  </si>
  <si>
    <t>150-23 Apoyar la estructuración de bases de datos de los procesos de cobertura, el control de calidad de la información, los análisis de ampliación de la cobertura, el mejoramiento de los geoprocesos y las solicitudes de los operadores de red.</t>
  </si>
  <si>
    <t>150-24</t>
  </si>
  <si>
    <t>150-24 Prestar servicios profesionales para realizar la compilación, verificación, análisis y gestión de la información relacionada con el comportamiento de la demanda de energía, la evolución tecnológica, la transición energética y los procesos asociados con la cobertura del servicio de energía eléctrica, el índice de cobertura ICEE y el análisis de proyectos de Fuentes No Convencionales de Energía y Gestión Eficiente de la Energía.</t>
  </si>
  <si>
    <t>150-25</t>
  </si>
  <si>
    <t>2 - Aumentar la oportunidad en la definición de obras y ejecución de los procesos de convocatorias.</t>
  </si>
  <si>
    <t>1 - SERVICIO DE ASISTENCIA TÉCNICA EN LA ESTRUCTURACIÓN DE CONVOCATORIAS DE LOS SISTEMAS DE TRANSMISIÓN DE ENERGÍA</t>
  </si>
  <si>
    <t>Estructurar los documentos técnicos y jurídicos para los procesos de convocatorias y subastas</t>
  </si>
  <si>
    <t>C-2102-1900-6-40301C-2102071-02</t>
  </si>
  <si>
    <t>150-25 Asesoría jurídica, judicial y extrajudicial en temas relacionados con la misionalidad de la Unidad de Planeación Minero Energética.</t>
  </si>
  <si>
    <t>150-26</t>
  </si>
  <si>
    <t>Monitorear los resultados e impactos de los proyectos en ejecución de los procesos de convocatorias y subastas</t>
  </si>
  <si>
    <t>150-26 Adelantar el análisis y procesamiento de la información tecnica relacionada con el desarrollo y la ejecución de los proyectos de transmisión objeto de convocatoria pública en la etapa de ejecución.</t>
  </si>
  <si>
    <t>150-27</t>
  </si>
  <si>
    <t>150-27 Adelantar el análisis y procesamiento de la información tecnica relacionada con el desarrollo y la ejecución de los proyectos de transmisión objeto de convocatoria pública en la etapa de ejecución.</t>
  </si>
  <si>
    <t>150-28</t>
  </si>
  <si>
    <t>150-28 Efectuar el seguimiento socioambiental de los proyectos definidos en el plan de expansión que son objeto de convocatoria pública, e identificar problemáticas y opciones de solución que alimenten las etapas previas de planeación y estructuración.</t>
  </si>
  <si>
    <t>150-29</t>
  </si>
  <si>
    <t>150-29 Adelantar el relacionamiento y articulación interinstitucional en fase de planeación y ejecución de los proyectos que se desarrollan mediante procesos de libre concurrencia, así como identificar las restricciones que se presenten en el seguimiento de los proyectos de transmisión nacional y regional.</t>
  </si>
  <si>
    <t>150-30</t>
  </si>
  <si>
    <t>150-30 Apoyar el análisis y revisión de información socioambiental de los proyectos de transmisión nacional y regional en ejecución, así como los análisis de posibilidades y condicionantes en etapas de planeación, estructuración y ejecución.</t>
  </si>
  <si>
    <t>150-31</t>
  </si>
  <si>
    <t>150-31 Procesar información relacionada con la estructuración de las convocatorias públicas de las obras de transmisión nacional y regional y proyectos de nuevas tecnologías en cuanto a condiciones técnicas, físicas, regulatorias y normativas y realizar el seguimiento a los proyectos que le sean asignados.</t>
  </si>
  <si>
    <t>150-32</t>
  </si>
  <si>
    <t>150-32 Procesar y gestionar el sistema de información geográfico de la infraestructura de transmisión nacional y regional y los proyectos en ejecución y apoyar la gestión cartográfica de los análisis de posibilidades y condicionantes y actualización de la base de datos de sistema socioambiental de la UPME.</t>
  </si>
  <si>
    <t>150-33</t>
  </si>
  <si>
    <t>150-33 Apoyar en el seguimiento a la ejecución de los proyectos de transmisión nacional y regional ejecutados mediante convocatoria pública y ampliaciones, apoyar el seguimiento a las condiciones de los documentos de selección y procesar la información de seguimiento de los proyectos que le sean asignados.</t>
  </si>
  <si>
    <t>150-34</t>
  </si>
  <si>
    <t>150-34 Prestar servicios profesionales para apoyar el modelamiento y la simulación de escenarios requeridos, para la elaboración del Plan Indicativo de Expansión de la Generación, así como apoyar el seguimiento de proyectos y la elaboración de documentos en el marco de las actividades del grupo de generación de la Subdirección de Energía Eléctrica.</t>
  </si>
  <si>
    <t>150-35</t>
  </si>
  <si>
    <t>150-35 Prestación de servicios profesionales para el procesamiento de los datos derivados de los procesos internos en la subdirección de energía eléctrica, así como el mantenimiento y gestión de las herramientas para las estadísticas e indicadores de seguimiento.</t>
  </si>
  <si>
    <t>150-36</t>
  </si>
  <si>
    <t>150-36 Adquirir servicio de renovación del licenciamiento de los modelos SDDP y OPTGEN, el cual incluye soporte y mantenimiento para las licencias durante la vigencia del servicio, así como la adquisición del servicio de ejecución remota PSR Cloud.</t>
  </si>
  <si>
    <t>150-37</t>
  </si>
  <si>
    <t>150-37 Adquirir los servicios de soporte técnico, mantenimiento y actualización de una (1) licencia de PLEXOS junto al SOLVER, incluyendo actualización en el manejo y administración de la herramienta.</t>
  </si>
  <si>
    <t>150-38</t>
  </si>
  <si>
    <t>150-38 Adquirir el servicio de adición de usuarios a los módulos de la licencia del software DIGSILENT POWER FACTORY y la actualización con el mantenimiento de las licencias existentes, así como el soporte técnico general y específico en el manejo del software, por un periodo de un año.</t>
  </si>
  <si>
    <t>Diciembre</t>
  </si>
  <si>
    <t>150-39</t>
  </si>
  <si>
    <t>150-39 Adquirir el servicio de suscripción online de la herramienta SAX para dos usuarios durante un año, incluyendo el soporte técnico general y específico.</t>
  </si>
  <si>
    <t>150-40</t>
  </si>
  <si>
    <t>150-40 Gastos de personal de los empleos de la planta temporal</t>
  </si>
  <si>
    <t>150-41</t>
  </si>
  <si>
    <t>150-41 Alquilar espacios de oficina (coworking) en virtud del proyecto de modernización organizacional para la Unidad de Planeación Minero Energética.</t>
  </si>
  <si>
    <t>150-42</t>
  </si>
  <si>
    <t>150-42 Gastos de personal de los empleos de la planta temporal.</t>
  </si>
  <si>
    <t>150-43</t>
  </si>
  <si>
    <t>150-43 Consultoria para la determinación de las viviendas sin servicios en el marco del cálculo del índice de cobertura.</t>
  </si>
  <si>
    <t>150-44</t>
  </si>
  <si>
    <t>150-44 Apoyar los análisis de las solicitudes de asignación de capacidad de transporte de proyectos de generación y usuarios finales según la Resolución CREG 075 de 2021 y apoyar el desarrollo, formulación de los criterios y aplicación de la metodología de evaluación.</t>
  </si>
  <si>
    <t>150-45</t>
  </si>
  <si>
    <t>150-45 Realizar el seguimiento a la ejecución de los proyectos de nivel de tensión IV que corresponde a la UPME y a los procedimientos asociados, y apoyar los análisis, evaluaciones y conceptos sobre las solicitudes de asignación de capacidad.</t>
  </si>
  <si>
    <t>150-46</t>
  </si>
  <si>
    <t>150-46 Apoyar el análisis de las solicitudes de asignación de capacidad de proyectos de generación y usuarios finales, procesar la información requerida por los modelos y participar del proceso de verificación de requisitos y seguimiento a los proyectos.</t>
  </si>
  <si>
    <t>150-47</t>
  </si>
  <si>
    <t>150-47 Proporcionar servicios profesionales para realizar el análisis y procesamiento de solicitudes de los agentes interesados en conectarse a la red nacional, regional y de distribución, incluyendo la evaluación de solicitudes de aprobación de Unidades Constructivas de nivel de tensión IV remitidas por los distintos transportadores; así como también brindar apoyo a los procedimientos asociado al grupo interno de trabajo de transmisión.</t>
  </si>
  <si>
    <t>150-48</t>
  </si>
  <si>
    <t>150-48 Prestar los servicios profesionales para participar en el análisis y procesamiento de solicitudes de los agentes interesados en conectarse a la red nacional, regional y de distribución a través de la metodología de evaluación y análisis eléctricos de flujos de carga, corto y estabilidad y apoyar la evaluación de solicitudes de asignación de capacidad de transporte de proyectos de generación y usuarios finales según la resolución creg 075 de 2021.</t>
  </si>
  <si>
    <t>150-49</t>
  </si>
  <si>
    <t>150-49 Prestar los servicios profesionales para participar en el análisis y procesamiento de solicitudes de los agentes interesados en conectarse a la red nacional, regional y de distribución a través de la metodología de evaluación y análisis eléctricos de flujos de carga, corto y estabilidad y conceptos sobre las solicitudes de asignación de capacidad.</t>
  </si>
  <si>
    <t>150-50</t>
  </si>
  <si>
    <t>150-50 Prestar los servicios profesionales para apoyar el seguimiento el seguimiento a la ejecución de los proyectos de nivel de tensión iv que corresponde a la upme y las solicitudes de conexión según la resolución creg 075 de 2021 , así como los procedimientos asociados al grupo interno de trabajo de transmisión.</t>
  </si>
  <si>
    <t>150-51</t>
  </si>
  <si>
    <t>150-51 Prestar los servicios profesionales para apoyar el análisis y procesamiento de solicitudes de los agentes interesados en conectarse a la red nacional, regional y de distribución, conforme a las disposiciones de la Resolución CREG 075 y a los procedimientos asociados al grupo interno de trabajo de transmisión.</t>
  </si>
  <si>
    <t>150-52</t>
  </si>
  <si>
    <t>150-52 Apoyar en el seguimiento a la ejecución de los proyectos llevados a cabo mediante convocatoria pública y ampliaciones que le sean asignados, apoyar la estructuración y elaboración de los documentos de selección del inversionista de los proyectos definidos en el marco del plan de expansión, apoyar en el relacionamiento interinstitucional y apoyo en la gestión documental.</t>
  </si>
  <si>
    <t>150-53</t>
  </si>
  <si>
    <t>150-53 Prestar servicios para el apoyo en la elaboración de documentos y en el procesamiento de la información, de las convocatorias públicas y de ampliación de los proyectos de transmisión nacional y regional, y demás proyectos en ejecución asignados.</t>
  </si>
  <si>
    <t>150-54</t>
  </si>
  <si>
    <t>150-54 Prestar servicios de apoyo a la gestión para el proceso diagramación de documentos y datos, y el diseño de piezas para canales digitales de la UPME y necesidades generales de comunicación institucional.</t>
  </si>
  <si>
    <t>150-55</t>
  </si>
  <si>
    <t>150-55 Prestar servicios profesionales de acompañamiento jurídico en los asuntos de gestión contractual de la entidad, en especial, lo relacionado con la Subdirección de Energía Eléctrica.</t>
  </si>
  <si>
    <t>150-56</t>
  </si>
  <si>
    <t>150-56 Prestar servicios profesionales orientados al fortalecimiento de la dimensión de control interno a través de la ejecución del plan anual de auditorías con énfasis en la evaluación y seguimiento de recursos financieros de la UPME.</t>
  </si>
  <si>
    <t>150-57</t>
  </si>
  <si>
    <t>150-57 Prestar servicios profesionales orientados al fortalecimiento de la política de control interno mediante la ejecución del plan anual de auditorías con énfasis en la gestión administrativa de la UPME.</t>
  </si>
  <si>
    <t>150-58</t>
  </si>
  <si>
    <t>150-58 Apoyar la elaboración de documentos y el procesamiento de la información, de las convocatorias públicas y de ampliación de los proyectos de transmisión nacional y regional.</t>
  </si>
  <si>
    <t>150-59</t>
  </si>
  <si>
    <t>1 - Aumentar señales de expansión y cobertura del servicio de energía eléctrica</t>
  </si>
  <si>
    <t>150-59 Adquirir el licenciamiento de las herramientas colaborativas en nube para la UPME</t>
  </si>
  <si>
    <t>150-60</t>
  </si>
  <si>
    <t>150-60 Contratar el suministro de una solución tecnológica integral en la modalidad de software como servicio (SaaS), que permita la gestión unificada de los procesos de nómina, recursos humanos, administración de contratistas, y el control de bienes y servicios de la entidad.</t>
  </si>
  <si>
    <t>150-61</t>
  </si>
  <si>
    <t>150-61 Prestar los servicios profesionales en las acciones relacionadas con el fortalecimiento de la capacidad administrativa para la gestión de bienes y servicios, requeridos por la UPME</t>
  </si>
  <si>
    <t>150-62</t>
  </si>
  <si>
    <t>150-62 Prestar servicios profesionales para apoyar la participar en el análisis y procesamiento de solicitudes de los agentes interesados en conectarse a la red nacional, regional y de distribución y a los procedimientos asociados a la apobación de obras de expansión del Sistema Interconectado Nacional</t>
  </si>
  <si>
    <t>150-63</t>
  </si>
  <si>
    <t xml:space="preserve">150-63 Prestación de servicios profesionales para analizar, procesar y presentar resultados estableciendo estándares, políticas y proceos que determinen el uso, desarrollo y gestión de los datos que se generen en el marco de los análisis que realice la subdirección de energía eléctrica	</t>
  </si>
  <si>
    <t>150-64</t>
  </si>
  <si>
    <t xml:space="preserve">150-64 Prestar servicios profesionales para apoyar la actualización de las herramientas ofimaticas del grupo de generación y cobertura, así como participar de los análisis para el plan de generación </t>
  </si>
  <si>
    <t>150-65</t>
  </si>
  <si>
    <t>150-65 Prestar servicios profesionales para adelantar el análisis y procesamiento de la información tecnica relacionada con el desarrollo y la ejecución de los proyectos de transmisión objeto de convocatoria pública en la etapa de ejecución</t>
  </si>
  <si>
    <t>150-66</t>
  </si>
  <si>
    <t>150-66 Prestar servicios profesionales especializados en la oficina asesora jurídica con el fin de realizar la verificación y cumplimiento de requisitos legales de las solicitudes de asignación de capacidad de transporte de los proyectos presentados ante la UPME y en la ejecución de acciones de carácter jurídico, en lo relacionado con la implementación de la Resolución CREG 075 de 2021, modificada por la resolución 101 049 de 2024 ,la resolución UPME 528 de 2021 y procedimientos aplicados en la expansión de sistemas eléctricos y/o de pérdida de la capacidad de transporte.</t>
  </si>
  <si>
    <t>150-67</t>
  </si>
  <si>
    <t>150-67 Adquirir 150 licencias de Vicarius, una solución avanzada de gestión de vulnerabilidades y parches diseñada para mejorar la seguridad y la gestión de riesgos en la infraestructura de TI de la entidad</t>
  </si>
  <si>
    <t>150-68</t>
  </si>
  <si>
    <t>150-68 Adquirir 150 licencias de Vicarius, una solución avanzada de gestión de vulnerabilidades y parches diseñada para mejorar la seguridad y la gestión de riesgos en la infraestructura de TI de la entidad</t>
  </si>
  <si>
    <t>150-69</t>
  </si>
  <si>
    <t>150-69 Prestar los servicios profesionales para apoyar a la oficina asesora jurídica OAJ, frente a la  gestión de los aspectos procedimentales, regulatorios y jurídicos en el seguimiento a los proyectos en ejecución y en el desarrollo de los procesos resultantes que lleve a cabo la Unidad de Planeación Minero Energética UPME,  en  aplicación de la Resolución CREG 075 de 2021 y sus modificaciones.</t>
  </si>
  <si>
    <t>150-70</t>
  </si>
  <si>
    <t>150-70 Prestar los servicios profesionales para apoyar en la evaluación y seguimiento de solicitudes de asignación de capacidad de transporte para conexión de proyectos a la red nacional, regional y de distribución, en el marco de los códigos de planeamiento y operación, resolución CREG 025 de 1995, así como de la resolución CREG 075 de 2021 y sus complementarias para proyectos clase 1, mediante la aplicación de los procedimientos y metodologías de evaluación y análisis eléctrico.</t>
  </si>
  <si>
    <t>150-71</t>
  </si>
  <si>
    <t>78102203;78102206</t>
  </si>
  <si>
    <t>150-71 Prestar los servicios de mensajería certificada a nivel urbano, nacional e internacional, mensajería electrónica y de mensajería motorizada especializada a nivel urbano en la ciudad de Bogotá D.C.</t>
  </si>
  <si>
    <t>150-72</t>
  </si>
  <si>
    <t>150-72 Prestar los servicios de mensajería certificada a nivel urbano, nacional e internacional, mensajería electrónica y de mensajería motorizada especializada a nivel urbano en la ciudad de Bogotá D.C.</t>
  </si>
  <si>
    <t>150-73</t>
  </si>
  <si>
    <t>150-73 Apoyar la elaboración de documentos y el procesamiento de la información, de las convocatorias públicas y de ampliación de los proyectos de transmisión nacional y regional.</t>
  </si>
  <si>
    <t>Karol Enrique Cifuentes</t>
  </si>
  <si>
    <t>Subdirector de Energía Eléctrica (E)</t>
  </si>
  <si>
    <t xml:space="preserve">enrique.cifuentes@upme.gov.co </t>
  </si>
  <si>
    <t>150-74</t>
  </si>
  <si>
    <t>150-74 Prestar el servicio de publicación en el diario oficial de los actos administrativos de carácter general emitidos por la UPME.</t>
  </si>
  <si>
    <t>150-75</t>
  </si>
  <si>
    <t>150-75 Prestar servicios profesionales para la gestión jurídica en la verificación y cumplimiento de asuntos legales de competencia de la UPME, y lo que de ello se derive, en especial, lo relacionado con el sector hidrocarburos y energía</t>
  </si>
  <si>
    <t>Carlos Alberto Rodriguez</t>
  </si>
  <si>
    <t xml:space="preserve">Subdirector de Energía Eléctrica </t>
  </si>
  <si>
    <t>carlos.rodriguez@upme.gov.co</t>
  </si>
  <si>
    <t>150-76</t>
  </si>
  <si>
    <t>150-76 Prestar servicios profesionales para la gestión jurídica en la verificación y cumplimiento de asuntos legales de competencia de la UPME, y lo que de ello se derive, en especial, lo relacionado con el sector hidrocarburos y energía</t>
  </si>
  <si>
    <t>150-77</t>
  </si>
  <si>
    <t>150-77 Adición del contrato No. CO1.PCCNTR.6932456 con objeto Adquirir el servicio de adición de usuarios a los módulos de la licencia del software DIGSILENT POWER FACTORY y la actualización con el mantenimiento de las licencias existentes, así como el soporte técnico general y específico en el manejo del software, por el periodo de un año.</t>
  </si>
  <si>
    <t>150-78</t>
  </si>
  <si>
    <t>150-78 Adquirir el servicio de adición de usuarios a los módulos de la licencia del software DIGSILENT POWER FACTORY y la actualización con el mantenimiento de las licencias existentes, así como el soporte técnico general y específico en el manejo del software, por un periodo de un año</t>
  </si>
  <si>
    <t>150-79</t>
  </si>
  <si>
    <t>150-79 Prestar servicios profesionales para apoyar al Grupo de Transmisión y Distribución de la Subdirección de Energía, dentro del marco regulatorio de la planeación del SIN, el seguimiento y control de la ejecución de la planeación estratégica, así como de las iniciativas de cooperación internacional mediante la atención y procesamiento de solicitudes de grupos y actores internos y externos</t>
  </si>
  <si>
    <t>150-80</t>
  </si>
  <si>
    <t>150-80 Adquirir el servicio de nube para Backup y DRP</t>
  </si>
  <si>
    <t>150-81</t>
  </si>
  <si>
    <t>150-81 Actualización y soporte del sistema de gestión documental de la Unidad, basado en ARGO/ORFEOGPL, para la Unidad de Planeación Minero Energética -UPME</t>
  </si>
  <si>
    <t>150-82</t>
  </si>
  <si>
    <t>150-82 Contratar el suministro de una solución tecnológica integral en la modalidad de software como servicio (SaaS), que permita la gestión unificada de los procesos de nómina, recursos humanos, administración de contratistas, y el control de bienes y servicios de la entidad.</t>
  </si>
  <si>
    <t>Subdirección de Minería</t>
  </si>
  <si>
    <t>Minería</t>
  </si>
  <si>
    <t>140-1</t>
  </si>
  <si>
    <t>2 - Ampliar el conocimiento de los encadenamientos productivos asociados a la actividad minera por parte de los actores del sector.</t>
  </si>
  <si>
    <t>4 - DOCUMENTOS DE PLANEACIÓN</t>
  </si>
  <si>
    <t>Diagnóstico</t>
  </si>
  <si>
    <t>C-2106-1900-12-40302A-2106003-02</t>
  </si>
  <si>
    <t>140-1 Prestar los servicios profesionales a la subdirección de minería que sirvan como soporte para fijar el precio base de liquidación de regalías de los diferentes minerales que se explotan en el país, análisis de datos que soporten la planeación sectorial minera, análisis de mercados de minerales para fortalecer la gestión investigativa en temas sectoriales, generando estrategias que dinamicen el desarrollo del sector y su incidencia en los territorios, así como de soporte administrativo para el manejo de la subdirección.</t>
  </si>
  <si>
    <t>Olga Tatiana Araque</t>
  </si>
  <si>
    <t>Subdirector de Minería</t>
  </si>
  <si>
    <t>olga.araque@upme.gov.co</t>
  </si>
  <si>
    <t>140-2</t>
  </si>
  <si>
    <t>140-2 Prestar los servicios profesionales de apoyo tématico económico para la investigación de estudios sectoriales relacionados con minerales estratégicos para la elaboración de análisis de mercado que permitan viabilizar los lineamientos de la planeación para el sector.</t>
  </si>
  <si>
    <t>140-3</t>
  </si>
  <si>
    <t>140-3 Prestar servicios profesionales para brindar apoyo a la subdirección de minería aportando análisis técnicos de la planeación y aspectos sociales asociados a la industria minera con el fin de contribuir con la planeación del sector y divulgación de información.</t>
  </si>
  <si>
    <t>140-4</t>
  </si>
  <si>
    <t>140-4 Prestar servicios profesionales para brindar apoyo a la subdirección de minería en los análisis cuantitativos necesarios para el modelamiento mediante herramientas de simulación y modelación con dinámica de sistemas implementado mejoramiento a los modelos de la subdirección.</t>
  </si>
  <si>
    <t>140-5</t>
  </si>
  <si>
    <t>140-5 Prestar servicios profesionales para la divulgación y socialización de los procesos, planes y documentos de la Subdirección de Minería</t>
  </si>
  <si>
    <t>140-6</t>
  </si>
  <si>
    <t>140-6 Pago de viáticos y gastos de desplazamiento para el fortalecimiento de la planeación para el desarrollo minero responsable con los territorios en el marco de la transición energética a nivel nacional.</t>
  </si>
  <si>
    <t>N.A</t>
  </si>
  <si>
    <t>140-7</t>
  </si>
  <si>
    <t>140-7 Prestar servicios profesionales para brindar apoyo a la subdirección de minería en el análisis y propuesta de politicas públicas para la planeación del sector minero en Colombia y en la elaboración de una hoja de ruta para el seguimiento del PNDM, sus indicadores y monitoreo en el marco de los lineamientos y estrategias propuestas por las entidades del sector.</t>
  </si>
  <si>
    <t>140-8</t>
  </si>
  <si>
    <t>Documento de planeación preliminar</t>
  </si>
  <si>
    <t>140-8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</si>
  <si>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140-9</t>
  </si>
  <si>
    <t>140-9 Prestar servicios profesionales de asesoría especializada jurídica y judicial en asuntos de competencia de la Unidad de Planeación Minero Energética y demás actuaciones jurídicas tendientes al desarrollo del proyecto de inversión "Fortalecimiento de la planeación para el desarrollo minero responsable con los territorios en el marco de la transición energética a nivel nacional”</t>
  </si>
  <si>
    <t>140-10</t>
  </si>
  <si>
    <t>140-10 Prestar servicios profesionales para brindar apoyo a la subdirección de minería en los análisis técnicos relacionados con los encadenamientos productivos asociados a los planes subsectoriales, seguimiento al PNDM y al componente de innovación en el sector minero en el marco de la transición energética.</t>
  </si>
  <si>
    <t>140-11</t>
  </si>
  <si>
    <t>140-11 Prestar servicios profesionales para brindar apoyo a la subdirección de minería en la actualización y alistamiento de herramientas de modelamiento matemático y estadístico para los estudios económicos requeridos en el marco de la planeación minera.</t>
  </si>
  <si>
    <t>140-12</t>
  </si>
  <si>
    <t>3 - Fortalecer la gestión integral de la información de la planeación minera.</t>
  </si>
  <si>
    <t>1 - SERVICIO DE DIVULGACIÓN DEL SECTOR MINERO ENERGÉTICO</t>
  </si>
  <si>
    <t>Desarrollar herramientas para el análisis, proyección y divulgación de la información minera</t>
  </si>
  <si>
    <t>C-2106-1900-12-40302A-2106019-02</t>
  </si>
  <si>
    <t>Estudios</t>
  </si>
  <si>
    <t>140-12 Elaborar los balances oferta utilización de 34 productos mineros y la cuenta de producción y generación del ingreso de 10 actividades económicas mineras CIIU Rev. 4 A.C. para 2023 en versión provisional para la operación estadística cuenta satélite de minería - CSM, en el marco del modelo genérico del proceso estadístico GSBPM</t>
  </si>
  <si>
    <t>140-13</t>
  </si>
  <si>
    <t>140-13 Prestar Servicios profesionales para la administración de bases de datos de la subdirección de minería, implementación de mejoras al SIMCO y desarrollo de modelos con sistemas de información geográfica para el procesamiento y divulgación de la información minera.</t>
  </si>
  <si>
    <t>140-14</t>
  </si>
  <si>
    <t>Apropiar Insumos para el análisis de Mercado Nacional e internacional de minerales y sus encadenamientos productivos</t>
  </si>
  <si>
    <t>140-14 Prestar los servicios de suscripción ONLINE a Fast Markets MB.</t>
  </si>
  <si>
    <t>140-15</t>
  </si>
  <si>
    <t>140-15 Realizar la renovación de la suscripción online de ARGUS MEDIA.</t>
  </si>
  <si>
    <t>140-16</t>
  </si>
  <si>
    <t>140-16 Renovación de la suscripción ONLINE de Baltic Exchange.</t>
  </si>
  <si>
    <t>140-17</t>
  </si>
  <si>
    <t>140-17 Aunar esfuerzos técnicos, administrativos y financieros para realizar el diagnóstico técnico y jurídico y la actualización de datos y visualización del sistema de información minero</t>
  </si>
  <si>
    <t>140-18</t>
  </si>
  <si>
    <t>Apropiar insumos para el análisis de Mercado Internacional de minerales y sus tendencias a largo plazo</t>
  </si>
  <si>
    <t>140-18 Aunar esfuerzos técnicos, administrativos y financieros para realizar el diagnóstico técnico y jurídico y la actualización de datos y visualización del sistema de información minero</t>
  </si>
  <si>
    <t>140-19</t>
  </si>
  <si>
    <t>140-19 Prestar servicios profesionales orientados al fortalecimiento de la dimensión de control interno a través de la ejecución del plan anual de auditorías con énfasis en la evaluación y seguimiento de recursos financieros de la UPME.</t>
  </si>
  <si>
    <t>140-20</t>
  </si>
  <si>
    <t>140-20 Prestar servicios profesionales orientados al fortalecimiento de la política de control interno mediante la ejecución del plan anual de auditorías con énfasis en la gestión administrativa de la UPME.</t>
  </si>
  <si>
    <t>140-21</t>
  </si>
  <si>
    <t>140-21 Adquirir el licenciamiento de las herramientas colaborativas en nube para la UPME.</t>
  </si>
  <si>
    <t>Linda Marcela Cardenas</t>
  </si>
  <si>
    <t>Asesor Dirección General</t>
  </si>
  <si>
    <t>linda.cardenas@upme.gov.co</t>
  </si>
  <si>
    <t>140-22</t>
  </si>
  <si>
    <t>140-22 Prestar los servicios profesionales a la subdirección de minería para la unificación de los documentos de planeación e investigación, corrección de estilo y aporte en la dimensión social.</t>
  </si>
  <si>
    <t>140-23</t>
  </si>
  <si>
    <t>2 - Ampliar el conocimiento de los encadenamientos productivos asociados a la actividad minera por parte de los actores del sector</t>
  </si>
  <si>
    <t>140-23 Prestar los servicios profesionales a la subdirección de minería para la unificación de los documentos de planeación e investigación, corrección de estilo y aporte en la dimensión social.</t>
  </si>
  <si>
    <t>140-24</t>
  </si>
  <si>
    <t>140-24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</si>
  <si>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140-25</t>
  </si>
  <si>
    <t>140-25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</si>
  <si>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140-26</t>
  </si>
  <si>
    <t>140-26 Prestar servicios profesionales para brindar apoyo a la subdirección de minería para el mejoramiento de los modelos del sector minero colombiano través de la herramienta de dinámica de sistemas.</t>
  </si>
  <si>
    <t>140-27</t>
  </si>
  <si>
    <t>140-27 Elaborar los balances oferta utilización de 34 productos mineros y la cuenta de producción y generación del ingreso de 10 actividades económicas mineras CIIU Rev. 4 A.C. para 2023 en versión provisional para la operación estadística cuenta satélite de minería - CSM, en el marco del modelo genérico del proceso estadístico GSBPM</t>
  </si>
  <si>
    <t>Contratación directa- Contratos Interadministrativos</t>
  </si>
  <si>
    <t>140-28</t>
  </si>
  <si>
    <t>140-28 Prestar el servicio de publicación en el diario oficial de los actos administrativos de carácter general emitidos por la UPME.</t>
  </si>
  <si>
    <t>Jaime Humberto Mesa</t>
  </si>
  <si>
    <t>jaime.mesa@upme.gov.co</t>
  </si>
  <si>
    <t>140-29</t>
  </si>
  <si>
    <t>140-29 Adquirir el licenciamiento de las herramientas colaborativas en nube para la UPME.</t>
  </si>
  <si>
    <t xml:space="preserve">Subdirector de </t>
  </si>
  <si>
    <t>140-30</t>
  </si>
  <si>
    <t>140-30 Prestar Servicios profesionales en las actividades relacionadas con el proceso de gestión de procesos y procedimietos para el proyecto de inversión "Fortalecimiento de la planeación para el desarrollo minero responsable con los territorios en el marco de la transición energética a nivel nacional" establecimiento de canales y herramientas internas para el reporte de avance de los servicios de información para el nuevo mapa de procesos de la entidad y levantamento de información relevante del área para el proceso de modernización de la entidad</t>
  </si>
  <si>
    <t>Luz Mireya Gomez</t>
  </si>
  <si>
    <t>Subdirector de Minería (E)</t>
  </si>
  <si>
    <t>140-31</t>
  </si>
  <si>
    <t>140-31 Prestar servicios profesionales para la divulgación y socialización de los procesos, planes y documentos de la Subdirección de Minería</t>
  </si>
  <si>
    <t>German Ojeda</t>
  </si>
  <si>
    <t>german.ojeda@upme.gov.co</t>
  </si>
  <si>
    <t>Subdirección de Gestión de la Información</t>
  </si>
  <si>
    <t>G. Información</t>
  </si>
  <si>
    <t>131-1</t>
  </si>
  <si>
    <t>1 - Fortalecer la implementación de la política de gobierno de datos y gestión de información del sector minero energético.</t>
  </si>
  <si>
    <t>1 - DOCUMENTOS DE LINEAMIENTOS TÉCNICOS PARA EL GOBIERNO DE DATOS Y GESTIÓN DE LA INFORMACIÓN</t>
  </si>
  <si>
    <t>C-2106-1900-14-53105B-2106010-02</t>
  </si>
  <si>
    <t>131-1 Prestación de servicios profesionales para la definición y desarrollo de los lineamientos sectoriales e institucionales en materia estadística orientados a la consolidación de planes y estrategias para el fortalecimiento y certificación de la información estadística.</t>
  </si>
  <si>
    <t>Johanna Stella Castellanos</t>
  </si>
  <si>
    <t>Subdirectora de Gestión de la Información</t>
  </si>
  <si>
    <t>johanna.castellanos@upme.gov.co</t>
  </si>
  <si>
    <t>131-2</t>
  </si>
  <si>
    <t>131-2 Prestación servicios de apoyo a la gestión para la documentación y actualización de los lineamientos de gobierno de datos y la metodología de gestión de la información, con un énfasis en el rol de administrador de datos.</t>
  </si>
  <si>
    <t>131-3</t>
  </si>
  <si>
    <t>131-3 Prestación servicios de apoyo a la gestión para la documentación y actualización de los lineamientos de gobierno de datos y la metodología de gestión de la información, con un énfasis en el rol de ingeniero de datos, así como el apoyo en el posicionamiento de Intégrame.</t>
  </si>
  <si>
    <t>131-4</t>
  </si>
  <si>
    <t>Divulgación</t>
  </si>
  <si>
    <t>131-4 Prestación servicios de apoyo a la gestión para la documentación y actualización de los lineamientos de gobierno de datos y la metodología de gestión de la información, con un énfasis en el rol de arquitecto de datos, así como en la implementación de la infraestructura de datos y estrategia de datos abiertos en la UPME.</t>
  </si>
  <si>
    <t>131-5</t>
  </si>
  <si>
    <t>1 - SERVICIO DE INFORMACIÓN IMPLEMENTADO E INTEROPERADO</t>
  </si>
  <si>
    <t>Diseño técnico y funcional</t>
  </si>
  <si>
    <t>C-2106-1900-14-53105B-2106034-02</t>
  </si>
  <si>
    <t>131-5 Prestación de servicios profesionales para el desarrollo de las actividades concernientes a la actualización y desarrollo de interoperabilidades en el sector minero energético, así como en implementación del lenguaje común de intercambio de información en las mismas y el diseño e implementación de un lago de datos institucional.</t>
  </si>
  <si>
    <t>131-6</t>
  </si>
  <si>
    <t>Pruebas y aseguramiento de calidad</t>
  </si>
  <si>
    <t>131-6 Prestación de servicios profesionales para el desarrollo de las actividades concernientes a la actualización y desarrollo de interoperabilidades en el sector minero energético, así como en implementación del lenguaje común de intercambio de información en las mismas y el diseño e implementación de un lago de datos institucional.</t>
  </si>
  <si>
    <t>131-7</t>
  </si>
  <si>
    <t>131-7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</si>
  <si>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131-8</t>
  </si>
  <si>
    <t>131-8 Prestar de servicios profesionales de acompañamiento jurídico en los asuntos de gestión contractual de la entidad, en especial, lo relacionado con la Subdirección de Gestión de la Información.</t>
  </si>
  <si>
    <t>131-9</t>
  </si>
  <si>
    <t>131-9 Prestación de servicios profesionales para adelantar labores de analítica de datos orientadas a la consolidación de modelos y algoritmos mineroenergéticos, así como para diseñar e implementar arquitecturas de datos robustas, escalables y seguras que procuren la integración de las diferentes fuentes de información de la entidad.</t>
  </si>
  <si>
    <t>131-10</t>
  </si>
  <si>
    <t>131-10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</si>
  <si>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131-11</t>
  </si>
  <si>
    <t>Software-licencias</t>
  </si>
  <si>
    <t>131-11 Adquisición de suscripciones a plataformas de redes sociales y portales de relacionamiento, con el propósito de potenciar la presencia digital, facilitar la interacción con audiencias específicas y acceder a servicios adicionales que optimicen estrategias de comunicación, promoción y networking para el desarrollo minero responsable con los territorios en el marco de la transición energética a nivel nacional.</t>
  </si>
  <si>
    <t>131-12</t>
  </si>
  <si>
    <t>2 - Mejorar la calidad de la información producida por el sector minero energético.</t>
  </si>
  <si>
    <t>1- DOCUMENTOS DE LINEAMIENTOS TÉCNICOS PARA LA PRODUCCIÓN DE INFORMACIÓN DEL SECTOR CON ESTÁNDARES DE CALIDAD</t>
  </si>
  <si>
    <t>131-12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</si>
  <si>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131-13</t>
  </si>
  <si>
    <t>131-13 Prestar servicios profesionales orientados al fortalecimiento de la dimensión de control interno a través de la ejecución del Plan Anual de Auditorias con énfasis en la evaluación y seguimiento de recursos financieros de la UPME.</t>
  </si>
  <si>
    <t>131-14</t>
  </si>
  <si>
    <t>131-14 Prestar servicios profesionales orientados al fortalecimiento de la política de control interno mediante la ejecución del plan anual de auditorías con énfasis en la gestión administrativa de la UPME.</t>
  </si>
  <si>
    <t>131-15</t>
  </si>
  <si>
    <t>131-15 Prestar servicios profesionales para la construcción de modelos matemáticos y de analítica de datos, la elaboración y divulgación de documentos de planeación, en el marco de la Transición Energética Justa, TEJ.</t>
  </si>
  <si>
    <t>131-16</t>
  </si>
  <si>
    <t>131-16 Prestación de servicios profesionales orientados al fortalecimiento de la política MIPG de Gestión de Información Estadística, asi como al desarrollo de actividades de analítica de datos económicos y macroeconomicos de interés para el sector mineroenergético.</t>
  </si>
  <si>
    <t>131-17</t>
  </si>
  <si>
    <t>131-17 Prestación de servicios de apoyo a la gestión orientados al despliegue de microservicios y arquitecturas distribuidas, así como a la contribución en la integración e interoperabilidad de la información requerida por la entidad.</t>
  </si>
  <si>
    <t>131-18</t>
  </si>
  <si>
    <t>131-18 Prestar los servicios profesionales en el proceso de gestión documental en la implementación del Plan Institucional de Archivos - PINAR, el Programa de Gestión Documental - PGD, el Sistema Integrado de Conservación - SIC, y en general las actividades sobre gestión documental que se definan en el Plan de Acción para la vigencia 2025 de la Unidad de Planeación Minero Energética.</t>
  </si>
  <si>
    <t>131-19</t>
  </si>
  <si>
    <t>131-19 Prestación de servicios profesionales para la actualización de los visores geográficos que integran el Geoportal Sectorial, así como la implementación de dashboards considerando especialmente las variables climáticas de mayor interés para el sector minero energético.</t>
  </si>
  <si>
    <t>131-20</t>
  </si>
  <si>
    <t>131-20  Prestación de servicios profesionales para contribuir en la estructuración de procesos contractuales requeridos por la Subdirección de Gestión de la Información, así como la formulación, seguimiento y reporte de los diferentes instrumentos de planeación.</t>
  </si>
  <si>
    <t>131-21</t>
  </si>
  <si>
    <t>131-21 Prestación de servicios profesionales para contribuir en la estructuración de procesos contractuales requeridos por la Subdirección de Gestión de la Información, así como la formulación, seguimiento y reporte de los diferentes instrumentos de planeación.</t>
  </si>
  <si>
    <t>131-22</t>
  </si>
  <si>
    <t>131-22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</si>
  <si>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131-23</t>
  </si>
  <si>
    <t xml:space="preserve">131-23 Actualizar y renovar el licenciamiento ESRI.						</t>
  </si>
  <si>
    <t>131-24</t>
  </si>
  <si>
    <t>131-24 Prestar servicios profesionales para la construcción de modelos matemáticos y de analítica de datos, la elaboración y divulgación de documentos de planeación, en el marco de la Transición Energética Justa, TEJ.</t>
  </si>
  <si>
    <t>131-25</t>
  </si>
  <si>
    <t>1 - SERVICIO DE INFORMACIÓN ACTUALIZADO PARA EL ANÁLISIS Y TOMA DE DECISIONES ESTRATÉGICAS DEL SECTOR</t>
  </si>
  <si>
    <t>C-2106-1900-14-53105B-2106033-02</t>
  </si>
  <si>
    <t>131-25 Prestación de servicios profesionales para la articulación con comunidades energéticas y apoyo en la regionalización del Plan Energético Nacional (PEN)</t>
  </si>
  <si>
    <t>131-26</t>
  </si>
  <si>
    <t>131-26 Prestación de servicios profesionales con autonomía técnica y administrativa, para el acompañamiento jurídico y asesoría especializada en la gestión contractual de la entidad, con énfasis particular en los asuntos relativos a la Subdirección de Gestión de la Información, con el fin de garantizar el cumplimiento normativo y la optimización de procesos.</t>
  </si>
  <si>
    <t>131-27</t>
  </si>
  <si>
    <t>131-27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</si>
  <si>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131-28</t>
  </si>
  <si>
    <t>131-28 Prestación de servicios profesionales  para apoyar la modelación e implementación de bases de datos espaciales, el desarrollo y mantenimiento de visores geográficos, la verificación del cumplimiento de estándares de calidad de la información geoespacial y el fortalecimiento de acciones orientadas al gobierno de los datos geográficos en el marco de los procesos misionales de la entidad y su rol como CIO del sector</t>
  </si>
  <si>
    <t>131-29</t>
  </si>
  <si>
    <t>131-29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</si>
  <si>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131-30</t>
  </si>
  <si>
    <t>131-30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</si>
  <si>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131-31</t>
  </si>
  <si>
    <t>131-31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</si>
  <si>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131-32</t>
  </si>
  <si>
    <t>131-32  Prestación de servicios profesionales orientados a definir, desarrollar e implementar productos de interés sectorial a partir de la utilización de analítica de datos e inteligencia artificial.</t>
  </si>
  <si>
    <t>131-33</t>
  </si>
  <si>
    <t>131-33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</si>
  <si>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131-34</t>
  </si>
  <si>
    <t>3 - Implementar una adecuada estrategia de comunicación y divulgación de la información del sector minero energético.</t>
  </si>
  <si>
    <t>1 - SERVICIO DE INFORMACIÓN IMPLEMENTADO PARA LA ACCESIBILIDAD SECTORIAL</t>
  </si>
  <si>
    <t>Desarrollo</t>
  </si>
  <si>
    <t xml:space="preserve">131-34 Prestación de servicios profesionales para el diseño gráfico de los portales y las plataformas interactivas web que sean requeridas por la UPME.                                        </t>
  </si>
  <si>
    <t xml:space="preserve">Contratación directa - Contratos interadministrativos </t>
  </si>
  <si>
    <t>131-35</t>
  </si>
  <si>
    <t>131-35 Prestación de servicios profesionales para el diseño y desarrollo de la estrategia de divulgación de productos de analítica y del portal SIMEC, así como la documentación, el diseño y el soporte técnico de los portales interactivos en desarrollo por la Subdirección de Gestión de la Información.</t>
  </si>
  <si>
    <t>Propios - 21 - Otros recursos de tesorería</t>
  </si>
  <si>
    <t>131-36</t>
  </si>
  <si>
    <t xml:space="preserve">131-36 Contratar el suministro de una solución tecnológica integral en la modalidad de software como servicio (SaaS), que permita la gestión unificada de los procesos de nómina, recursos humanos, administración de contratistas, y el control de bienes y servicios de la entidad                                    </t>
  </si>
  <si>
    <t>131-37</t>
  </si>
  <si>
    <t>131-37 Prestar servicios profesionales para la construcción de modelos matemáticos y de analítica de datos, la elaboración y divulgación de documentos de planeación, en el marco de la Transición Energética Justa, TEJ.</t>
  </si>
  <si>
    <t>131-38</t>
  </si>
  <si>
    <t>131-38 Prestación de servicios profesionales para el diseño gráfico de los portales y las plataformas interactivas web que sean requeridas por la UPME.</t>
  </si>
  <si>
    <t>131-39</t>
  </si>
  <si>
    <t>131-39 Prestación de servicios profesionales para el diseño y desarrollo de la estrategia de divulgación de productos de analítica, del portal SIMEC, así como la documentación, el diseño y el soporte técnico de los portales interactivos en desarrollo por la Subdirección de Gestión de la Información.</t>
  </si>
  <si>
    <t>131-40</t>
  </si>
  <si>
    <t>131-40 Prestación de servicios profesionales para el diseño, estructuración, desarrollo e implementación de las mejoras y requerimientos que sean necesarios para los portales interactivos y las aplicaciones web bajo la responsabilidad de la UPME.</t>
  </si>
  <si>
    <t>131-41</t>
  </si>
  <si>
    <t>131-41 Prestación de servicios de apoyo a la gestión para la difusión de información institucional a través de los portales interactivos administrados por la entidad, con especial énfasis del portal web de la entidad.</t>
  </si>
  <si>
    <t>131-42</t>
  </si>
  <si>
    <t xml:space="preserve">131-42 Prestación de servicios profesionales para la documentación integral y el apoyo en la implementación y actualización de la política de gobierno de datos y la metodología de gestión de la información de la UPME y del sector mineroenergético.        </t>
  </si>
  <si>
    <t>131-43</t>
  </si>
  <si>
    <t>2 - SERVICIO DE DIVULGACIÓN DEL SECTOR MINERO ENERGÉTICO</t>
  </si>
  <si>
    <t>Realizar la recolección y procesamiento de la información</t>
  </si>
  <si>
    <t>C-2106-1900-14-53105B-2106019-02</t>
  </si>
  <si>
    <t>131-43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</si>
  <si>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131-44</t>
  </si>
  <si>
    <t>Operador Logístico</t>
  </si>
  <si>
    <t>131-44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</si>
  <si>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131-45</t>
  </si>
  <si>
    <t>131-45 Prestación de servicios profesionales como community manager y estratega digital con énfasis en la construcción campañas y posicionamiento de marca.</t>
  </si>
  <si>
    <t>131-46</t>
  </si>
  <si>
    <t>131-46 Prestación de servicios profesionales de estructuración gráfica de documentos, diseño digital, presentaciones de diversa índole que sean requeridos por el área de comunicaciones.</t>
  </si>
  <si>
    <t>131-47</t>
  </si>
  <si>
    <t>Desarrollar el proceso de divulgación</t>
  </si>
  <si>
    <t>131-47 Viáticos y gastos de desplazamiento en el marco de la implementación de una adecuada estrategia de comunicación y divulgación de la información del sector minero energético.</t>
  </si>
  <si>
    <t>131-48</t>
  </si>
  <si>
    <t>131-48 Prestación de servicios profesionales de diagramación de documentos, diseño y diagramación de datos, diseño de piezas para canales digitales de la UPME y necesidades generales de diseño en el área de comunicaciones.</t>
  </si>
  <si>
    <t>131-49</t>
  </si>
  <si>
    <t>131-49 Prestación de servicios de apoyo a la gestión para la UPME en la creación de productos audiovisuales para los diferentes canales de la entidad y necesidades del Plan Estratégico de Comunicaciones.</t>
  </si>
  <si>
    <t>131-50</t>
  </si>
  <si>
    <t>131-50 Prestación de servicios profesionales orientados a la realización de labores de analítica de datos para las principales variables del sector minero energético</t>
  </si>
  <si>
    <t>131-51</t>
  </si>
  <si>
    <t>131-51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</si>
  <si>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131-52</t>
  </si>
  <si>
    <t>131-52 Prestación de servicios profesionales para realizar el acompañamiento técnico en la articulación de las arquitecturas de datos y negocio en el marco de la reestructuración del Sistema Minero Colombiano (SIMCO) considerando la consistencia y armonización entre los requerimientos misionales y de gestión de la información.</t>
  </si>
  <si>
    <t>131-53</t>
  </si>
  <si>
    <t>131-53  Prestar de servicios profesionales de acompañamiento jurídico en los asuntos de gestión contractual de la entidad, en especial, lo relacionado con la Subdirección de Gestión de la Información.</t>
  </si>
  <si>
    <t>131-54</t>
  </si>
  <si>
    <t xml:space="preserve">131-54 Adquirir el licenciamiento de las herramientas colaborativas en nube para la UPME.	</t>
  </si>
  <si>
    <t>131-55</t>
  </si>
  <si>
    <t xml:space="preserve">131-55  Prestación de servicios de apoyo a la gestión orientados al despliegue de microservicios y arquitecturas distribuidas, así como a la contribución en la integración e interoperabilidad de la información requerida por la entidad.        </t>
  </si>
  <si>
    <t>131-56</t>
  </si>
  <si>
    <t>131-56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</si>
  <si>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131-57</t>
  </si>
  <si>
    <t>131-57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</si>
  <si>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131-58</t>
  </si>
  <si>
    <t>131-58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</si>
  <si>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131-59</t>
  </si>
  <si>
    <t>131-59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</si>
  <si>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131-60</t>
  </si>
  <si>
    <t>131-60  Prestación de servicios profesionales orientados a la realización de labores de analítica de datos para las principales variables del sector minero energético</t>
  </si>
  <si>
    <t>131-61</t>
  </si>
  <si>
    <t>131-61 Prestación de servicios profesionales orientados a la realización de labores de analítica de datos para las principales variables del sector minero energético</t>
  </si>
  <si>
    <t>131-62</t>
  </si>
  <si>
    <t>131-62 Prestación de servicios profesionales orientados a definir, estructurar e implementar modelos de analítica de datos e inteligencia artificial identificando patrones, tendencias y correlaciones significativas.</t>
  </si>
  <si>
    <t>131-63</t>
  </si>
  <si>
    <t>131-63 Prestación de servicios de apoyo a la gestión para el desarrollo e implementación de geoprocesos institucionales y fortalecimiento del Geoportal Sectorial</t>
  </si>
  <si>
    <t>Subdirección de Hidrocarburos</t>
  </si>
  <si>
    <t>Hidrocarburos</t>
  </si>
  <si>
    <t>170-1</t>
  </si>
  <si>
    <t>1 - Fortalecer la planificación de la oferta de hidrocarburos.</t>
  </si>
  <si>
    <t>1 - DOCUMENTOS DE PLANEACIÓN ESTRATÉGICA DEL SECTOR DE HIDROCARBUROS</t>
  </si>
  <si>
    <t>C-2103-1900-2-40301B-2103026-02</t>
  </si>
  <si>
    <t>170-1 Realizar la renovación de la suscripción online de S&amp;P Global Commodity Insights.</t>
  </si>
  <si>
    <t>Mauricio Andres Palma Orozco</t>
  </si>
  <si>
    <t>Subdirector de hidrocarburos</t>
  </si>
  <si>
    <t>mauricio.palma@upme.gov.co</t>
  </si>
  <si>
    <t>170-2</t>
  </si>
  <si>
    <t>170-2 Realizar la renovación de la suscripción online de S&amp;P Global Commodity Insights.</t>
  </si>
  <si>
    <t>170-3</t>
  </si>
  <si>
    <t>170-3 Realizar la adquisición de licencia PipelineStudio™ Software</t>
  </si>
  <si>
    <t>170-4</t>
  </si>
  <si>
    <t>170-4 Prestar los servicios profesionales para realizar el seguimiento y control de las actividades de planeación estratégica, procesos contractuales, ejecución presupuestal y ejecución del proyecto de inversión para el cumplimiento de las metas y objetivos de la subdirección de hidrocarburos; así como realizar acompañamiento en las diferentes actividades del sistema de gestión.</t>
  </si>
  <si>
    <t>170-5</t>
  </si>
  <si>
    <t>170-5 Prestar servicios profesionales en el análisis ambiental del enfoque territorial de los planes de abastecimiento y confiabilidad y de los proyectos de infraestructura que adelanta la subdirección de hidrocarburos.</t>
  </si>
  <si>
    <t>170-6</t>
  </si>
  <si>
    <t>170-6 Prestar servicios profesionales para la estructuración, elaboración y desarrollo del Plan Indicativo de Bioenergía para la Región Pacifico a cargo de la Subdirección de Hidrocarburos.</t>
  </si>
  <si>
    <t>170-7</t>
  </si>
  <si>
    <t>170-7 Prestar servicios profesionales para efectuar el diagnóstico de estrategias de abastecimiento y confiabilidad para el sector de GLP desde la perspectiva internacional y su integración al entorno nacional.</t>
  </si>
  <si>
    <t>170-8</t>
  </si>
  <si>
    <t>170-8 Prestar los servicios profesionales para realizar el mantenimiento de la documentación, atención de auditorías, seguimiento y control de las herramientas de gestión y acompañamiento de la gestión de riesgos de la subdirección de hidrocarburos; así como realizar acompañamiento en las diferentes actividades de la planeación estratégica y de los convenios supervisados por la subdirección.</t>
  </si>
  <si>
    <t>170-9</t>
  </si>
  <si>
    <t>170-9 Prestar servicios profesionales de apoyo jurídico, elaboración de actos administrativos y acompañamiento jurídico en los distintos procesos de convocatorias que adelanta la subdirección de hidrocarburos.</t>
  </si>
  <si>
    <t>170-10</t>
  </si>
  <si>
    <t>170-10 Prestar servicios profesionales de asesoría especializada jurídica en temas asociados a las convocatorias publicas de la subdirección de hidrocarburos.</t>
  </si>
  <si>
    <t>170-11</t>
  </si>
  <si>
    <t>170-11 Prestar servicios profesionales orientados al fortalecimiento de la dimensión de control interno a través de la ejecución del plan anual de auditorías con énfasis en la evaluación y seguimiento de recursos financieros de la UPME.</t>
  </si>
  <si>
    <t>170-12</t>
  </si>
  <si>
    <t>170-12 Prestar servicios profesionales orientados al fortalecimiento de la política de control interno mediante la ejecución del plan anual de auditorías con énfasis en la gestión administrativa de la UPME.</t>
  </si>
  <si>
    <t>170-13</t>
  </si>
  <si>
    <t>170-13 Prestar los servicios profesionales para la estructuración, seguimiento y control de convocatorias del subsector de hidrocarburos a cargo de la Subdirección de Hidrocarburos.</t>
  </si>
  <si>
    <t>170-14</t>
  </si>
  <si>
    <t>170-14 Pago de viáticos y gastos de desplazamiento para el mejoramiento de la planeación del abastecimiento y confiabilidad del subsector de hidrocarburos a nivel nacional.</t>
  </si>
  <si>
    <t>170-15</t>
  </si>
  <si>
    <t>170-15 Prestar los servicios profesionales para la preparación y divulgación de documentos de planeación, considerando el diseño, evaluación y análisis de la expansión de la generación y la transmisión nacional, regional y local, la cobertura del servicio de energía eléctrica, así como participar en la aplicación de las metodologías de evaluación y análisis económicos y tarifarios, gestión de información técnica, requisitos regulatorios y gestión de resultados.</t>
  </si>
  <si>
    <t>170-16</t>
  </si>
  <si>
    <t>170-16 Prestar servicios profesionales para efectuar actividades sobre prospectiva de materias primas y bioenergéticos en el marco del Plan Indicativo de Bioenergía Pacífico con el enfoque territorial.</t>
  </si>
  <si>
    <t>170-17</t>
  </si>
  <si>
    <t>170-17 Prestar servicios profesionales en asuntos jurídicos y judiciales de la Unidad de Planeación Minero Energética.</t>
  </si>
  <si>
    <t>170-18</t>
  </si>
  <si>
    <t>170-18 Prestar servicios profesionales para la gestión jurídica en la verificación de requisitos legales de competencia de la Unidad de Planeación Minero Energética, su debido cumplimiento y lo que de ello se derive, en especial, lo relacionado con el sector de hidrocarburos.</t>
  </si>
  <si>
    <t>170-19</t>
  </si>
  <si>
    <t>2 - Reducir limitaciones que afecten la expansión de infraestructura de suministro de hidrocarburos en el tiempo.</t>
  </si>
  <si>
    <t>1 - DOCUMENTOS DE LINEAMIENTOS TÉCNICOS - PARA EL DESARROLLO DEL SECTOR DE HIDROCARBUROS</t>
  </si>
  <si>
    <t>C-2103-1900-2-40301B-2103025-02</t>
  </si>
  <si>
    <t>170-19 Prestar los servicios profesionales para realizar los análisis económico y de costos de infraestructura de los planes de abastecimiento y confiabilidad requeridos por la Subdirección de Hidrocarburos.</t>
  </si>
  <si>
    <t>170-20</t>
  </si>
  <si>
    <t>170-20 Prestar servicios profesionales a la coordinación técnica para la formulación de lineamientos económicos y/o financieros que contribuyan al desarrollo de los documentos de planeación del subsector de hidrocarburos.</t>
  </si>
  <si>
    <t>170-21</t>
  </si>
  <si>
    <t>170-21 Prestar servicios profesionales para apoyar jurídicamente a la Subdirección de Hidrocarburos en la coordinación, ejecución y seguimiento de la política pública correspondiente al sector de los Hidrocarburos.</t>
  </si>
  <si>
    <t>170-22</t>
  </si>
  <si>
    <t>170-22 Prestar los servicios profesionales para el desarrollo, implementación y validación de gemelos digitales de los planes de abastecimiento y confiabilidad de la Subdirección de Hidrocarburos.</t>
  </si>
  <si>
    <t>170-23</t>
  </si>
  <si>
    <t>170-23 Prestar servicios profesionales para la elaboración de metodologías para la proyección de precios de los energéticos en el contexto de la política de transición energética requeridos por la Subdirección de Hidrocarburos.</t>
  </si>
  <si>
    <t>170-24</t>
  </si>
  <si>
    <t>170-24 Prestar servicios profesionales para el diseño, desarrollo e implementación de modelos avanzados de simulación, para la integración e interoperabilidad, de los planes de abastecimiento y confiabilidad de la Subdirección de Hidrocarburos.</t>
  </si>
  <si>
    <t>170-25</t>
  </si>
  <si>
    <t>170-25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</si>
  <si>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170-26</t>
  </si>
  <si>
    <t>170-26 Prestar servicios profesionales para efectuar actividades sobre prospectiva de materias primas y bioenergéticos en el marco del Plan Indicativo de Bioenergía Pacífico con el enfoque territorial.</t>
  </si>
  <si>
    <t>170-27</t>
  </si>
  <si>
    <t>170-27 Prestar servicios profesionales para apoyar la elaboración de la estrategia de transición hacia el uso de energéticos más limpios en el sector domiciliario en el territorio, en el Marco del Plan Nacional de Sustitución de Leña, asi como realizar análisis de datos e información sectorial requerida como insumo para documentos técnicos de la subdirección.</t>
  </si>
  <si>
    <t xml:space="preserve">Cesar Augusto Pineda </t>
  </si>
  <si>
    <t>Subdirector de hidrocarburos (E)</t>
  </si>
  <si>
    <t>cesar.pineda@upme.gov.co</t>
  </si>
  <si>
    <t>170-28</t>
  </si>
  <si>
    <t>170-28 Contratar el suministro de una solución tecnológica integral en la modalidad de software como servicio (SaaS), que permita la gestión unificada de los procesos de nómina, recursos humanos, administración de contratistas, y el control de bienes y servicios de la entidad.</t>
  </si>
  <si>
    <t>Contratación directa-unico oferente</t>
  </si>
  <si>
    <t>170-29</t>
  </si>
  <si>
    <t xml:space="preserve">170-29 Prestar servicios profesionales para apoyar la elaboración y desarrollo del Plan Indicativo de Combustibles líquidos y temas relacionados con estos energéticos a cargo de la Subdireccion de Hidrocarburos </t>
  </si>
  <si>
    <t xml:space="preserve"> No</t>
  </si>
  <si>
    <t>170-30</t>
  </si>
  <si>
    <t>170-30 Prestar servicios profesionales para la gestión jurídica en la verificación y cumplimiento de asuntos legales de competencia de la UPME, y lo que de ello se derive, en especial, lo relacionado con el sector hidrocarburos y energía.</t>
  </si>
  <si>
    <t>170-31</t>
  </si>
  <si>
    <t>43233501</t>
  </si>
  <si>
    <t xml:space="preserve">170-31 Adquirir el licenciamiento de las herramientas colaborativas en nube para la UPME					</t>
  </si>
  <si>
    <t>170-32</t>
  </si>
  <si>
    <t>170-32 Prestar servicios profesionales para apoyar la elaboración y desarrollo de los Planes de Abastecimiento de hidrocarburos y temas relacionados con estos energéticos a cargo de la Subdirección de Hidrocarburos</t>
  </si>
  <si>
    <t>Ingrid Fernanda Vasquez</t>
  </si>
  <si>
    <t>ingrid.vasquez@upme.gov.co</t>
  </si>
  <si>
    <t>170-33</t>
  </si>
  <si>
    <t>170-33 Prestar servicios profesionales para apoyar el desarrollo y estructuracion de lineamientos técnicos relacionados con procesos de selección y/o evaluación proyectos de infraestructura que contribuyan al cumplimiento de los objetivos del sector de hidrocarburos</t>
  </si>
  <si>
    <t>170-34</t>
  </si>
  <si>
    <t>170-34 Prestar servicios profesionales para brindar apoyo jurídico a la Subdirección de Hidrocarburos en la ejecución y seguimiento de la política pública correspondiente al sector de hidrocarburos.</t>
  </si>
  <si>
    <t>170-35</t>
  </si>
  <si>
    <t>170-35 Prestar servicios profesionales de apoyo a la gestión para asistir logísticamente y acompañar la consolidación de la información requerida para la elaboración de informes, reportes y documentos técnicos requeridos por la subdirección de hidrocarburos.</t>
  </si>
  <si>
    <t>170-36</t>
  </si>
  <si>
    <t>170-36 Prestar servicios profesionales para apoyar el seguimiento y control de los procesos  de selección y/o evaluación de proyectos de infraestructura, así como, la elaboración de documentos técnicos de la subdirección de hidrocarburos</t>
  </si>
  <si>
    <t>170-37</t>
  </si>
  <si>
    <t>170-37 Prestar servicios profesionales para apoyar la elaboración y desarrollo del Plan Indicativo de Combustibles líquidos y temas relacionados con estos energéticos a cargo de la Subdireccion de Hidrocarburos</t>
  </si>
  <si>
    <t>170-38</t>
  </si>
  <si>
    <t>170-38 Prestar servicios profesionales de apoyo jurídico, elaboración de actos administrativos y acompañamiento jurídico en los distintos procesos y actividades técnicas que adelanta la subdirección de hidrocarburos</t>
  </si>
  <si>
    <t>170-39</t>
  </si>
  <si>
    <t>170-39 Contratar el suministro de una solución tecnológica integral en la modalidad de software como servicio (SaaS), que permita la gestión unificada de los procesos de nómina, recursos humanos, administración de contratistas, y el control de bienes y servicios de la entidad.</t>
  </si>
  <si>
    <t>170-40</t>
  </si>
  <si>
    <t>170-40 Contratar el suministro de una solución tecnológica integral en la modalidad de software como servicio de gestión de proyectos para coordinar procesos la planificación, ejecución, control y seguimiento en línea de los procesos y actividades que desarrolla la Subdirección de Hidrocarburos.</t>
  </si>
  <si>
    <t>Subdirección de Demanda</t>
  </si>
  <si>
    <t>Demanda</t>
  </si>
  <si>
    <t>160-1</t>
  </si>
  <si>
    <t>1 - Mejorar la representatividad en la información de la participación de los sectores económicos en el consumo de energía.</t>
  </si>
  <si>
    <t>1 - DOCUMENTOS DE PLANEACIÓN</t>
  </si>
  <si>
    <t>C-2106-1900-13-40302B-2106003-02</t>
  </si>
  <si>
    <t>160-1 Prestar servicios profesionales para apoyar la construcción del Balance Energético Colombiano, BECO y la evaluación de emisiones de Gases de Efecto Invernadero, GEI.</t>
  </si>
  <si>
    <t>Jessica Arias Gaviria</t>
  </si>
  <si>
    <t>Subdirectora de Demanda</t>
  </si>
  <si>
    <t>jessica.arias@upme.gov.co</t>
  </si>
  <si>
    <t>160-2</t>
  </si>
  <si>
    <t>160-2 Prestar servicios profesionales para apoyar la elaboración de estudios y modelamiento de la caracterización del consumo de energía y dar recomendaciones sobre los energéticos más adecuados, en el marco del Plan Energético Nacional y la política de Transición Energética Justa, TEJ.</t>
  </si>
  <si>
    <t>160-3</t>
  </si>
  <si>
    <t>160-3 Prestar servicios profesionales para apoyar los análisis, consolidación, revisión y ajuste de los documentos de planeamiento energético priorizados de la Subdirección de demanda en el marco de la Transición Energética Justa, TEJ.</t>
  </si>
  <si>
    <t>160-4</t>
  </si>
  <si>
    <t>160-4 Prestar servicios profesionales para el seguimiento en los procesos de diseño, evaluación y análisis de proyectos de eficiencia energética para la climatización y refrigeración en Colombia en el marco de la Transición Energética Justa, TEJ.</t>
  </si>
  <si>
    <t>160-5</t>
  </si>
  <si>
    <t>160-5 Prestar servicios profesionales para apoyar la recopilación y análisis de información para línea base y definición de estrategias de eficiencia energética en materia de movilidad; asi como, apoyar la construcción de modelos computacionales enfocados en la predicción del comportamiento del sector transporte como insumos para el PEN 202-2054, en el marco de la Transición Energética Justa, TEJ.</t>
  </si>
  <si>
    <t>160-6</t>
  </si>
  <si>
    <t>160-6 Prestar servicios profesionales para el apoyo en la identificación, análisis de aspectos tecnológicos, económicos, sociales, regulatorios y ambientales para la conceptualización de los documentos estratégicos que conforman el Plan Energético Nacional.</t>
  </si>
  <si>
    <t>160-7</t>
  </si>
  <si>
    <t>2 - Desarrollar la capacidad instalada en la planificación estratégica de la atención de la demanda.</t>
  </si>
  <si>
    <t>1 - DOCUMENTOS METODOLÓGICOS</t>
  </si>
  <si>
    <t>C-2106-1900-13-40302B-2106005-02</t>
  </si>
  <si>
    <t>160-7 Prestar servicios profesionales para apoyar los análisis beneficio costo de los escenarios del Plan Energético Nacional, PEN, y de las iniciativas o medidas del PAI PROURE; en el marco de la transición energética del país.</t>
  </si>
  <si>
    <t>160-8</t>
  </si>
  <si>
    <t>3 - Fomentar la articulación de la política pública, el marco regulatorio y la visión de gobierno.</t>
  </si>
  <si>
    <t>1 - DOCUMENTOS DE LINEAMIENTOS TÉCNICOS</t>
  </si>
  <si>
    <t>C-2106-1900-13-40302B-2106010-02</t>
  </si>
  <si>
    <t>160-8 Prestar servicios profesionales para el análisis de la información, la preparación y divulgación de documentos de planeación de la Subdirección de Demanda, en el marco de la Transición Energética Justa (TEJ).</t>
  </si>
  <si>
    <t>160-9</t>
  </si>
  <si>
    <t>160-9 Prestar servicios profesionales para apoyar los análisis beneficio costo de los documentos de planeamiento de la Subdirección, a partir de la información derivada de los proyectos de FNCE, GEE e Hidrógeno, en el marco de la transición energética del país.</t>
  </si>
  <si>
    <t>160-10</t>
  </si>
  <si>
    <t>160-10 Desarrollar funcionalidades  del modelo de optimización y su interfase para el planeamiento y las proyecciones energéticas nacionales; a partir de buenas prácticas de modelamiento empleadas a nivel internacional, así como brindar soporte y capacitación a la UPME en el uso de la interfase y el modelo en general.</t>
  </si>
  <si>
    <t>160-11</t>
  </si>
  <si>
    <t>Documento metodológico preliminar</t>
  </si>
  <si>
    <t>160-11 Desarrollar funcionalidades  del modelo de optimización y su interfase para el planeamiento y las proyecciones energéticas nacionales; a partir de buenas prácticas de modelamiento empleadas a nivel internacional, así como brindar soporte y capacitación a la UPME en el uso de la interfase y el modelo en general.</t>
  </si>
  <si>
    <t>160-12</t>
  </si>
  <si>
    <t xml:space="preserve">160-12 Determinar el consumo energético del sector residencial-urbano colombiano, considerando elementos sociales, económicos y climáticos; a partir de información primaria y secundaria.                                        </t>
  </si>
  <si>
    <t>160-13</t>
  </si>
  <si>
    <t xml:space="preserve">160-13 Determinar el consumo energético del sector residencial-urbano colombiano, considerando elementos sociales, económicos y climáticos; a partir de información primaria y secundaria.                                        </t>
  </si>
  <si>
    <t>160-14</t>
  </si>
  <si>
    <t>81101516;83101601</t>
  </si>
  <si>
    <t>160-14 Prestar asistencia técnica para conceptualizar y establecer una metodología para determinar el costo de racionamiento del servicio de gas natural en Colombia, con resolución sectorial, geográfica  y temporal, así como obtener y procesar la información necesaria para su estimación.</t>
  </si>
  <si>
    <t>160-15</t>
  </si>
  <si>
    <t>160-15 Caracterizar en el marco del Plan Nacional de Bioenergía en Colombia, la demanda actual para transporte, electricidad, y energía térmica de los diversos bioenergéticos (sólidos, biocombustibles líquidos, gaseosos y combustibles sintéticos) y establecer escenarios de demanda a largo plazo a partir de los potenciales de biomasas para su producción, considerando prospección tecnológica para los procesos de transformación e infraestructura existente</t>
  </si>
  <si>
    <t>160-16</t>
  </si>
  <si>
    <t>160-16 Prestar servicios profesionales para diseñar y divulgar los planes, programas y proyectos prioritarios de la subdirección de demanda, relacionados con la diversificación energética e infraestructura, en el marco de la Transición Energética Justa - TEJ.</t>
  </si>
  <si>
    <t>160-17</t>
  </si>
  <si>
    <t>160-17 Prestar servicios profesionales para proponer escenarios en un modelo de optimización para la transición de la demanda y la oferta de energía en el marco de los planes de la subdirección de demanda; a partir de buenas prácticas de modelamiento empleadas a nivel internacional.</t>
  </si>
  <si>
    <t>160-18</t>
  </si>
  <si>
    <t>160-18 Prestar servicios profesionales para proponer escenarios en un modelo de optimización para la transición de la demanda y la oferta de energía en el marco de los planes de la subdirección de demanda; a partir de buenas prácticas de modelamiento empleadas a nivel internacional.</t>
  </si>
  <si>
    <t>160-19</t>
  </si>
  <si>
    <t>160-19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</si>
  <si>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160-20</t>
  </si>
  <si>
    <t>160-20 Pago de viáticos y gastos de desplazamientos para el fortalecimiento del sector en la planificación de la atención de la demanda energética nacional y la transición energética justa a nivel nacional.</t>
  </si>
  <si>
    <t>160-21</t>
  </si>
  <si>
    <t>160-21 Prestación de servicios profesionales para realizar el desarrollo, actualización y mantenimiento web de las diferentes versiones digitales del Plan Energético Nacional, del Balance Energético Colombiano y de los sitios y/o subsistemas de información relacionados con la Subdirección de Demanda de la UPME, garantizando la satisfacción de estándares de accesibilidad de la información dirigida a los usuarios internos y externos de la entidad.</t>
  </si>
  <si>
    <t>160-22</t>
  </si>
  <si>
    <t>160-22 Adquirir el licenciamiento de las herramientas colaborativas en nube para la UPME.</t>
  </si>
  <si>
    <t>160-23</t>
  </si>
  <si>
    <t>160-23 Adquirir el licenciamiento de las herramientas colaborativas en nube para la UPME.</t>
  </si>
  <si>
    <t>160-24</t>
  </si>
  <si>
    <t>160-24 Adquirir el licenciamiento de las herramientas colaborativas en nube para la UPME.</t>
  </si>
  <si>
    <t>160-25</t>
  </si>
  <si>
    <t>160- 25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</si>
  <si>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Wilson Quintero</t>
  </si>
  <si>
    <t>Subdirector de Demanda</t>
  </si>
  <si>
    <t>wilson.quintero@upme.gov.co</t>
  </si>
  <si>
    <t>160-26</t>
  </si>
  <si>
    <t>160- 26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</si>
  <si>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160-27</t>
  </si>
  <si>
    <t>160 -27 Prestación de servicios profesionales para adelantar labores de analítica de datos orientadas a la consolidación de modelos y algoritmos mineroenergéticos, así como para diseñar e implementar arquitecturas de datos robustas, escalables y seguras que procuren la integración de las diferentes fuentes de información de la entidad.</t>
  </si>
  <si>
    <t>160-28</t>
  </si>
  <si>
    <t>160- 28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</si>
  <si>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160-29</t>
  </si>
  <si>
    <t>160- 29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</si>
  <si>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160-30</t>
  </si>
  <si>
    <t>160 - 30 Prestación de servicios profesionales para el diseño y desarrollo de la estrategia de divulgación de productos de analítica y del portal SIMEC, así como la documentación, el diseño y el soporte técnico de los portales interactivos en desarrollo por la Subdirección de Gestión de la Información.</t>
  </si>
  <si>
    <t>160-31</t>
  </si>
  <si>
    <t>160 - 31 Prestar servicios profesionales para apoyar los análisis beneficio costo de los documentos de planeamiento de la Subdirección, a partir de la información derivada de los proyectos de FNCE, GEE e Hidrógeno, en el marco de la transición energética del país.}</t>
  </si>
  <si>
    <t>160-32</t>
  </si>
  <si>
    <t>160 - 32 Prestar servicios profesionales para apoyar los análisis beneficio costo de los documentos de planeamiento de la Subdirección, a partir de la información derivada de los proyectos de FNCE, GEE e Hidrógeno, en el marco de la transición energética del país.</t>
  </si>
  <si>
    <t>160-33</t>
  </si>
  <si>
    <t>160 - 33 Actualización y soporte del sistema de gestión documental de la Unidad, basado en ARGO/ORFEOGPL, para la Unidad de Planeación Minero Energética -UPME</t>
  </si>
  <si>
    <t>Dirección General - Enfoque Territorial</t>
  </si>
  <si>
    <t>Territorial</t>
  </si>
  <si>
    <t>100-1</t>
  </si>
  <si>
    <t>1 - Incluir el uso de las particularidades propias de cada territorio en la planeación minero energética.</t>
  </si>
  <si>
    <t>Identificar e incorporar variables sociales, ambientales y territoriales en los documentos de planeación minero energética</t>
  </si>
  <si>
    <t>C-2106-1900-10-53105E-2106005-02</t>
  </si>
  <si>
    <t>100-1 Prestar servicios profesionales para la gestión de información georreferenciada socioambiental, diferencial e interseccional para el análisis de la planeación del sector minero energético, en el marco del proyecto Enfoque Territorial de la UPME.</t>
  </si>
  <si>
    <t>Ingrid Viviana Garzón</t>
  </si>
  <si>
    <t>Asesora Dirección general</t>
  </si>
  <si>
    <t>ingrid.garzon@upme.gov.co</t>
  </si>
  <si>
    <t>100-2</t>
  </si>
  <si>
    <t>100-2 Prestar servicios profesionales para el desarrollo de escenarios socioambientales con enfoque interseccional en la planeación minero energética y visualización de análisis con enfoque territorial, en el marco del proyecto Enfoque Territorial de la UPME.</t>
  </si>
  <si>
    <t>01</t>
  </si>
  <si>
    <t>100-3</t>
  </si>
  <si>
    <t>100-3 Prestar servicios profesionales para apoyar los procesos contractuales de la entidad, en especial aquellos necesarios en aras de contribuir a la aplicación de la metodología de enfoque territorial de la UPME</t>
  </si>
  <si>
    <t>100-4</t>
  </si>
  <si>
    <t>100-4 Prestar los servicios profesionales para el seguimiento de la situación energética con respecto al fenómeno de El Niño y analizar diferentes escenarios que permitan realizar una planeación energética que garantice la confiabilidad del suministro de energía eléctrica</t>
  </si>
  <si>
    <t>100-5</t>
  </si>
  <si>
    <t>100-5 Prestar servicios profesionales para la integración de herramientas socioambientales contribuyendo al desarrollo de infraestructura energética, asegurando un enfoque integral y sostenible.</t>
  </si>
  <si>
    <t>100-6</t>
  </si>
  <si>
    <t>100-6 Prestar servicios profesionales para la articulación entre la oficina de fondos y la dirección general en el marco de la implementación de la estrategia de participación y comunicación fortaleciendo capacidades para una Planeacion minero energética participativa</t>
  </si>
  <si>
    <t>100-7</t>
  </si>
  <si>
    <t>100-7 Prestar servicios profesionales para las actividades de free press de la Unidad de Planeación Minero Energética- UPME, con énfasis en la estrategia de articulación intra e intersectorial para la planificación del desarrollo minero-energético, en el marco del proyecto Enfoque Territorial y la Dirección General.</t>
  </si>
  <si>
    <t>100-8</t>
  </si>
  <si>
    <t>100-8 Prestar servicios profesionales para la coordinación del componente social, promoviendo el desarrollo de análisis multivariables y la articulación interinstitucional e intersectorial.</t>
  </si>
  <si>
    <t>100-9</t>
  </si>
  <si>
    <t>100-9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</si>
  <si>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No solicitadas</t>
  </si>
  <si>
    <t xml:space="preserve">Ingrid Viviana Garzón/ Asesora Dirección General / 6012220601/ ingrid.garzon@upme.gov.co                        </t>
  </si>
  <si>
    <t>100-10</t>
  </si>
  <si>
    <t>100-10 Prestar servicios profesionales para el desarrollo de escenarios de análisis energéticos para la planeación minero energética, con énfasis en una óptica regional, liderando la implementación de lineamientos articulados de gestión institucional en materia ambiental.</t>
  </si>
  <si>
    <t>100-11</t>
  </si>
  <si>
    <t>2 - Fortalecer el conocimiento de la población y el territorio en cuanto a la dinámica de la planeación minero energética.</t>
  </si>
  <si>
    <t>1 - SERVICIOS DE APOYO PARA LA GESTIÓN DE PROCESOS DE PARTICIPACIÓN, COLABORACIÓN, Y TRANSPARENCIA DEL SECTOR MINERO ENERGÉTICO</t>
  </si>
  <si>
    <t>Implementar la estrategia de comunicación y participación con actores, territorio y sector, que mejoren el relacionamiento con dichos actores bajo el Enfoque Territorial</t>
  </si>
  <si>
    <t>C-2106-1900-10-53105E-2106022-02</t>
  </si>
  <si>
    <t>100-11 Prestar sus servicios profesionales especializados para asesorar a la dirección general en asuntos técnicos del sector energético, con énfasis en la planeación eléctrica y la integración territorial de variables energéticas, fortaleciendo las estrategias de relacionamiento con actores territoriales.</t>
  </si>
  <si>
    <t>100-12</t>
  </si>
  <si>
    <t>100-12 Prestar servicios profesionales para apoyar la articulación administrativa y logística para la territorialización del proyecto de Enfoque Territorial, incluyendo la gestión, regionalización y seguimiento de las convocatorias necesarias para el desarrollo del proyecto en todas sus fases, con un enfoque diferenciado para cada región involucrada.</t>
  </si>
  <si>
    <t>100-13</t>
  </si>
  <si>
    <t>100-13 Prestar servicios profesionales para el análisis y caracterización de los impactos ambientales asociados a las actividades misionales de la UPME, incluyendo el relacionamiento con actores regionales para la formulación de la estrategia de gestión en operación del proyecto de 6GW de energía renovable, contribuyendo a la toma de decisiones y a la implementación de medidas estratégicas para un desarrollo sostenible.</t>
  </si>
  <si>
    <t>100-14</t>
  </si>
  <si>
    <t>100-14 Prestar servicios profesionales jurídicos para apoyar la integración de variables socioambientales en los procesos y productos de la UPME, generación e implementación de estrategias para la entrada en operación de energía renovable, asegurando el cumplimiento de lineamientos jurídicos, administrativos y normativos que se requiera en el desarrollo del proyecto enfoque territorial.</t>
  </si>
  <si>
    <t>100-15</t>
  </si>
  <si>
    <t>100-15 Prestar servicios profesionales en la gestión de los planes, programas y proyectos para la implementación de la Estrategia Institucional de Cooperación Internacional de la UPME.</t>
  </si>
  <si>
    <t>100-16</t>
  </si>
  <si>
    <t>100-16 Prestar servicios profesionales para apoyar la identificación e incorporación de variables sociales y territoriales en los documentos de planeación minero-energética, con el fin de fortalecer el conocimiento sobre la relación entre el desarrollo minero-energético.</t>
  </si>
  <si>
    <t>100-17</t>
  </si>
  <si>
    <t>100-17 Prestar servicios para la implementación y valoración de la metodología de resolución de conflictos para la entrada en operación de los proyectos previstos para el fortalecimiento de la infraestructura de energía eléctrica de transmisión en la región Pacífico.</t>
  </si>
  <si>
    <t>100-18</t>
  </si>
  <si>
    <t>100-18 Prestar los servicios profesionales para coordinar la formulación y fundamentación técnica que incorporen de manera integral variables de género en la UPME, así como en la articulación con entidades territoriales e instancias interinstitucionales, que contribuyan a una planificación minero energética más inclusiva y eficaz a nivel nacional.</t>
  </si>
  <si>
    <t>100-19</t>
  </si>
  <si>
    <t>100-19 Prestar servicios profesionales orientados al fortalecimiento de la dimensión de control interno a través de la ejecución del plan anual de auditorías con énfasis en la evaluación y seguimiento de recursos financieros de la upme.</t>
  </si>
  <si>
    <t>100-20</t>
  </si>
  <si>
    <t>100-20 Prestar servicios profesionales orientados al fortalecimiento de la política de control interno mediante la ejecución del plan anual de auditorías con énfasis en la gestión administrativa de la upme.</t>
  </si>
  <si>
    <t>100-21</t>
  </si>
  <si>
    <t>100-21 Prestar los servicios profesionales para la gestión jurídica en aspectos misionales y lo que de ello se  derive, contribuyendo al desempeño institucional con enfoque territorial.</t>
  </si>
  <si>
    <t>100-22</t>
  </si>
  <si>
    <t>100-22 Prestar los servicios profesionales en asuntos de índole jurídico, para el acompañamiento del proceso,  verificación y cumplimiento de requisitos legales y asuntos misionales, contribuyendo al desempeño institucional con enfoque territorial.</t>
  </si>
  <si>
    <t>100-23</t>
  </si>
  <si>
    <t>100-23 Prestar los servicios profesionales en la implementación y articulación de análisis técnico para la inclusión de variables sociales en los documentos de la entidad, apoyar los procesos de audiencias de proyectos y convocatorias realizadas por la UPME en el territorio.</t>
  </si>
  <si>
    <t>100-24</t>
  </si>
  <si>
    <t>100-24 Prestar servicios profesionales para identificar y analizar las variables ambientales y territoriales relevantes, con el fin de incorporarlas de manera efectiva en los documentos de planeación minero-energética, asegurando un enfoque integral y sostenible.</t>
  </si>
  <si>
    <t>100-25</t>
  </si>
  <si>
    <t>100-25 Prestar servicios profesionales para apoyar al equipo de Enfoque Territorial en actividades técnicas y administrativas relacionadas con la articulación intra e intersectorial para la planeación minero-energética, así como el análisis institucional, sistematización de información y elaboración de insumos orientados al fortalecimiento de la gestión territorial.</t>
  </si>
  <si>
    <t>100-26</t>
  </si>
  <si>
    <t>100-26 Prestar servicios profesionales para apoyar en la identificación y análisis de variables ambientales para proyectos minero-energéticos, mediante la recopilación, organización y documentación de información socioambiental que contribuya a la planificación sostenible de la UPME y al fortalecimiento de la gestión ambiental en el sector.</t>
  </si>
  <si>
    <t>100-27</t>
  </si>
  <si>
    <t>100-27 Prestar servicios profesionales para coordinar las acciones del área de Gestión del Conocimiento en el proyecto Enfoque Territorial, facilitando el seguimiento al plan estratégico institucional y la implementación de metodologías y lineamientos necesarios para el desarrollo efectivo de las actividades del proyecto.</t>
  </si>
  <si>
    <t>100-28</t>
  </si>
  <si>
    <t>100-28 Prestar servicios profesionales a la Unidad de Planeación Minero-Energética (UPME) en el ejercicio de la secretaria tecnica de comités interinstitucionales e intersectoriales, el fortalecimiento del relacionamiento estratégio etre niveles de gobierno y sectores, y el acompañamiento a procesos de territorialización y diálogo social en el marco de la planeación energética nacional y regional</t>
  </si>
  <si>
    <t>100-29</t>
  </si>
  <si>
    <t>Definir e implementar lineamientos articulados de gestión institucional con enfoque territorial ambiental y social</t>
  </si>
  <si>
    <t>100-29 Prestar servicios profesionales para apoyar la elaboración e implementación de los planes internos de gestión de la Dirección General de la UPME, optimizando la coordinación entre sectores y asegurando la eficacia de las acciones internas, para una planificación integral en el ámbito minero-energético.</t>
  </si>
  <si>
    <t>100-30</t>
  </si>
  <si>
    <t>100-30 Prestar los servicios profesionales en conceptos técnicos de ingeniería eléctrica y jurídico regulatorios para la planificación minero energética nacional en la UPME, con enfoque interseccional en los aspectos ambiental, social y territorial relacionados con el sector minero-energético.</t>
  </si>
  <si>
    <t>100-31</t>
  </si>
  <si>
    <t>100-31 Prestar servicios profesionales para el monitoreo al desarrollo de proyectos de generación a partir de Fuentes No Convencionales de Energía Renovable reconociendo y articulando acciones interinstitucionales para prever y gestionar aspectos decisivos para la entrada de operación de los proyectos.</t>
  </si>
  <si>
    <t>100-32</t>
  </si>
  <si>
    <t>100-32 Prestar servicios profesionales para el seguimiento a la implementación de los proyectos de generación con conexión aprobada por la Unidad de Planeación Minero Energética, en aras de identificar y gestionar soluciones a desafios ambientales, sociales, territoriales, entre otras, a través de la articulación con los actores estratégicos a nivel local, regional y nacional.</t>
  </si>
  <si>
    <t>100-33</t>
  </si>
  <si>
    <t>100-33 Prestar servicios profesionales para articular la gestión interinstitucional con actores fundamentales en la planeación energética.</t>
  </si>
  <si>
    <t>100-34</t>
  </si>
  <si>
    <t>100-34 Prestar servicios profesionales para la realización de respuestas a peticiones, quejas, reclamos, informes y documentos concernientes al fenómeno climático “El Niño”, con el animo de posibilitar la articulación intra e intersectorial para la planeación del sector eléctrico.</t>
  </si>
  <si>
    <t>100-35</t>
  </si>
  <si>
    <t>100-35 Prestar servicios profesionales de diagramación de documentos, diseño y diagramación de datos, diseño de piezas para canales digitales de la UPME y necesidades generales de diseño en el área de comunicaciones.</t>
  </si>
  <si>
    <t>100-36</t>
  </si>
  <si>
    <t>100-36 Prestar servicios profesionales de diagramación de planes y productos, y diversos formatos de datos digitales de la UPME en el área de comunicaciones.</t>
  </si>
  <si>
    <t>100-37</t>
  </si>
  <si>
    <t>100-37 Prestar servicios profesionales para apoyar a la UPME en la identificación, evaluación y mitigación de impactos ambientales derivados de sus actividades rutinarias, garantizando el cumplimiento de la normativa ambiental, la gestión adecuada de residuos, y el control del uso racional de agua y energía, con el fin de optimizar las prácticas sostenibles dentro de la entidad.</t>
  </si>
  <si>
    <t>100-38</t>
  </si>
  <si>
    <t>100-38 Prestar servicios profesionales para coordinar el seguimiento de la planeación estratégica, los procesos contractuales y la ejecución presupuestal del proyecto de Enfoque Territorial de la Dirección General, garantizando el cumplimiento efectivo de sus metas y su integración en la planificación energética nacional.</t>
  </si>
  <si>
    <t>100-39</t>
  </si>
  <si>
    <t>100-39 Prestar servicios profesionales para identificar y analizar la incidencia de variables territoriales e interseccionales en los procesos de planificación, desarrollo y gestión de infraestructura energética, generando lineamientos y acciones para  la gestión interinstitucional, con el fin de fortalecer la transición energética justa y sostenible en el territorio nacional.</t>
  </si>
  <si>
    <t>100-40</t>
  </si>
  <si>
    <t>100-40 Prestar los servicios profesionales de asesoría jurídica en aspectos relacionados con la planeación del sector eléctrico, las actuaciones administrativas misionales y lo que de ello se derive, contribuyendo al desempeño institucional con enfoque territorial.</t>
  </si>
  <si>
    <t>100-41</t>
  </si>
  <si>
    <t>100-41 Prestar servicios profesionales para efectuar actividades sobre prospectiva de materias primas y bioenergéticos en el marco del Plan Indicativo de Bioenergía Pacífico con el enfoque territorial.</t>
  </si>
  <si>
    <t>100-42</t>
  </si>
  <si>
    <t>100-42 Prestar servicios profesionales para desarrollar e implementar una metodología de relacionamiento socioambiental y planeación minero energética con el territorio generando indicadores de medición de resultados e impacto a largo plazo, fortaleciendo la gobernanza multinivel.</t>
  </si>
  <si>
    <t>100-43</t>
  </si>
  <si>
    <t>100-43 Prestar servicios de apoyo a la gestión para la UPME en la creación de productos audiovisuales para los diferentes canales de la entidad y necesidades del Plan Estratégico de Comunicaciones.</t>
  </si>
  <si>
    <t>100-44</t>
  </si>
  <si>
    <t>Diseñar la estrategia de comunicación y participación con actores, territorio y sector, que mejoren el relacionamiento con dichos actores bajo el Enfoque Territorial</t>
  </si>
  <si>
    <t>100-44 Prestar servicios profesionales para efectuar actividades sobre prospectiva de materias primas y bioenergéticos en el marco del Plan Indicativo de Bioenergía Pacífico con el enfoque territorial.</t>
  </si>
  <si>
    <t>100-45</t>
  </si>
  <si>
    <t xml:space="preserve">2 - Fortalecer el conocimiento de la población y el territorio en cuanto a la dinámica de la planeación minero energética. </t>
  </si>
  <si>
    <t>c</t>
  </si>
  <si>
    <t>100-45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</si>
  <si>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100-46</t>
  </si>
  <si>
    <t>100-46 Prestar los servicios profesionales para la integración de variables sociales y étnicas en los documentos de la UPME, consolidando lineamientos integrales en su planificación y promoviendo la articulación interinstitucional con entidades territoriales.</t>
  </si>
  <si>
    <t>100-47</t>
  </si>
  <si>
    <t>100-47 Prestar servicios profesionales como enlace en la Región Caribe en la implementación de la estrategia de comunicación de la UPME al Territorio, orientada a fortalecer la transparencia de los procesos de planeación minero-energética mediante el desarrollo de espacios y canales adicionales de divulgación.</t>
  </si>
  <si>
    <t>100-48</t>
  </si>
  <si>
    <t>100-48 Pago de viáticos y gastos de desplazamiento para la implementación y evaluación de la estrategia de comunicación y participación de la UPME.</t>
  </si>
  <si>
    <t>100-49</t>
  </si>
  <si>
    <t>100-49 Prestar servicios profesionales como enlace NARP de las regiones para la formulación y fundamentación técnica de variables étnicas en la UPME, así como para la coordinación con entidades territoriales e instancias interinstitucionales, con el fin de promover una planificación minero-energética más inclusiva y efectiva a nivel nacional.</t>
  </si>
  <si>
    <t>100-50</t>
  </si>
  <si>
    <t>100-50 Prestar servicios profesionales para formular e implementar una estrategia de gestión social en proyectos de energía renovable, asegurando la inclusión de las comunidades locales y la articulación con actores territoriales para el fortalecimiento de la infraestructura energética.</t>
  </si>
  <si>
    <t>100-51</t>
  </si>
  <si>
    <t>100-51 Prestar servicios profesionales como enlace en la Región del Pacífico en la implementación de la estrategia de comunicación de la UPME al Territorio, orientada a fortalecer la transparencia de los procesos de planeación minero-energética mediante el desarrollo de espacios y canales adicionales de divulgación.</t>
  </si>
  <si>
    <t>100-52</t>
  </si>
  <si>
    <t>100-52 Prestar servicios profesionales para asesorar a la dirección general en el relacionamiento con entidades públicas, entidades no gubernamentales y actores legislativos, en el marco del seguimiento de los planes y programas del sector minero energético.</t>
  </si>
  <si>
    <t>100-53</t>
  </si>
  <si>
    <t>100-53 Prestar servicios profesionales en la gestión de los planes, programas y proyectos para la implementación de la Estrategia Institucional de Cooperación Internacional de la UPME.</t>
  </si>
  <si>
    <t>100-54</t>
  </si>
  <si>
    <t>100-54 Prestar servicios profesionales para la implementación de la estrategia de comunicación de la UPME al Territorio, orientada a fortalecer la transparencia de los procesos de planeación minero-energética mediante el desarrollo de espacios y canales adicionales de divulgación.</t>
  </si>
  <si>
    <t>100-55</t>
  </si>
  <si>
    <t>Prestación de servicios editoriales</t>
  </si>
  <si>
    <t>100-55 Prestar servicios editoriales para la implementación de la estrategia de integración del enfoque territorial y la inteligencia artificial en la transición energética justa intensiva en conocimiento.</t>
  </si>
  <si>
    <t>100-56</t>
  </si>
  <si>
    <t>100-56 Prestar servicios profesionales para analizar la metodología de armonización de instrumentos de planeación minero-energética con enfoque diferencial y perspectiva interseccional e instrumentos relacionados avanzando en su integración e implementación para la conservación de la biodiversidad, mitigación y adaptación al cambio climático.</t>
  </si>
  <si>
    <t>100-57</t>
  </si>
  <si>
    <t>100-57 Prestar servicios profesionales para realizar la gestión interinstitucional con grupos de interés de la entidad para la identificación, caracterización e integración de variables socioambientales a los procesos y productos de la UPME en la Región Caribe con enfoque de género y étnico.</t>
  </si>
  <si>
    <t>100-58</t>
  </si>
  <si>
    <t>2 - Fortalecer el conocimiento de la población y el territorio en cuanto a la dinámica de la planeación minero energética</t>
  </si>
  <si>
    <t>100-58 Prestar servicios profesionales para la identificación e integración de habilitadores socioambientales para el fortalecimiento de la infraestructura generando estrategias interinstitucionales y jurídicas para la integración del enfoque territorial e interseccional.</t>
  </si>
  <si>
    <t>100-59</t>
  </si>
  <si>
    <t>100-59 Prestar servicios profesionales para apoyar el desarrollo de una herramienta computacional para la optimización de la red del sistema interconectado nacional (SIN) colombiano y acompañar la evaluación y revisión de acciones o estrategias relacionadas para fortalecer la infraestructura energética con enfoque territorial.</t>
  </si>
  <si>
    <t>100-60</t>
  </si>
  <si>
    <t>100-60 Adquirir el licenciamiento de las herramientas colaborativas en nube para la UPME.</t>
  </si>
  <si>
    <t>100-61</t>
  </si>
  <si>
    <t>100-61 Adelantar las gestiones administrativas y jurídicas tendientes a la consecución de las actas de colindancia y las certificación de vía requeridas para rectificación de áreas y linderos de los predios ubicados en el municipio de Barrancabermeja propiedad de la entidad</t>
  </si>
  <si>
    <t>100-62</t>
  </si>
  <si>
    <t>100-62 Prestar servicios profesionales de asesoría en asuntos de indole juridico, para el acompañamiento del proceso, verificación y cumplimiento de requisitos legales y asuntos misionales de competencia de la UPME, contribuyedo al desempeño institucional con enfoque territorial</t>
  </si>
  <si>
    <t>100-63</t>
  </si>
  <si>
    <t>100-63 Prestar sus servicios profesionales especializados a la dirección general en asuntos técnicos del sector energético, con énfasis en la planeación eléctrica y la integración territorial de variables energéticas, fortaleciendo las estrategias de relacionamiento con actores territoriales.</t>
  </si>
  <si>
    <t>Mateo Severino Rodriguez</t>
  </si>
  <si>
    <t>mateo.severino@upme.gov.co</t>
  </si>
  <si>
    <t>100-64</t>
  </si>
  <si>
    <t xml:space="preserve">100-64 Prestar los servicios profesionales de enlace legislativo y asesoría jurídica del Proyecto Enfoque Territorial, incluyendo la sustanciación de actuaciones, el análisis y seguimiento normativo, y la elaboración de conceptos y actos jurídicos, a fin de asegurar la legalidad y la oportunidad de las decisiones del proyecto.                                        </t>
  </si>
  <si>
    <t>100-65</t>
  </si>
  <si>
    <t>100-65 Prestar servicios profesionales para la gestión de información georreferenciada socioambiental, diferencial e interseccional para el análisis de la planeación del sector minero energético, en el marco del proyecto Enfoque Territorial de la UPME.</t>
  </si>
  <si>
    <t>Sandra Caballero</t>
  </si>
  <si>
    <t>sandra.caballero@upme.gov.co</t>
  </si>
  <si>
    <t>100-66</t>
  </si>
  <si>
    <t>100-66  Prestar servicios profesionales para el desarrollo de escenarios socioambientales con enfoque interseccional en la planeación minero energética y visualización de análisis con enfoque territorial, en el marco del proyecto Enfoque Territorial de la UPME.</t>
  </si>
  <si>
    <t>100-67</t>
  </si>
  <si>
    <t>100-67  Prestar servicios profesionales para el desarrollo de escenarios socioambientales con enfoque interseccional en la planeación minero energética y visualización de análisis con enfoque territorial, en el marco del proyecto Enfoque Territorial de la UPME.</t>
  </si>
  <si>
    <t>100-68</t>
  </si>
  <si>
    <t>100-68 Prestar servicios profesionales para el desarrollo de escenarios socioambientales con enfoque interseccional en la planeación minero energética y visualización de análisis con enfoque territorial, en el marco del proyecto Enfoque Territorial de la UPME.</t>
  </si>
  <si>
    <t>100-69</t>
  </si>
  <si>
    <t>100-69 Prestar servicios profesionales como geóloga al interior del Equipo de Enfoque Territorial de la Unidad de Planeación Minero-Energética – UPME, para el apoyo técnico en la incorporación de variables geológicas y ambientales en los procesos de planeación minero-energética, particularmente en la identificación, caracterización y análisis de riesgos territoriales, socioambientales y geotécnicos, así como en la elaboración de insumos técnicos que fortalezcan la formulación de proyectos, la concertación con comunidades étnicas y territoriales.</t>
  </si>
  <si>
    <t>100-70</t>
  </si>
  <si>
    <t>100-70 Prestar servicios profesionales para el seguimiento a la implementación de los proyectos de generación con conexión aprobada por la Unidad de Planeación Minero Energética, en aras de identificar y gestionar soluciones a desafios ambientales, sociales, territoriales, entre otras, a través de la articulación con los actores estratégicos a nivel local, regional y nacional.</t>
  </si>
  <si>
    <t>100-71</t>
  </si>
  <si>
    <t>100-71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</si>
  <si>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100-72</t>
  </si>
  <si>
    <t>100-72 Prestar servicios profesionales para apoyar en la identificación y análisis de variables ambientales para proyectos minero-energéticos, mediante la recopilación, organización y documentación de información socioambiental que contribuya a la planificación sostenible de la UPME y al fortalecimiento de la gestión ambiental en el sector.</t>
  </si>
  <si>
    <t>Funcionamiento</t>
  </si>
  <si>
    <t>111-1</t>
  </si>
  <si>
    <t>A-02-02-02-008-007</t>
  </si>
  <si>
    <t>111-1 Prestar el servicio de mantenimiento preventivo y correctivo que garantice el buen funcionamiento de las UPS de propiedad de la UPME.</t>
  </si>
  <si>
    <t>Yezmy Carolina Vargas</t>
  </si>
  <si>
    <t>111-2</t>
  </si>
  <si>
    <t>111-2 Prestar el servicio de mantenimiento preventivo del sistema de monitoreo ambiental instalado en el centro de cómputo de la UPME.</t>
  </si>
  <si>
    <t>111-3</t>
  </si>
  <si>
    <t>111-3 Prestar el servicio de mantenimiento preventivo, correctivo y de emergencia a los equipos de aire acondicionado que se encuentran ubicados en la sede administrativa de la UPME.</t>
  </si>
  <si>
    <t>111-4</t>
  </si>
  <si>
    <t>111-4 Prestar el servicio de mantenimiento preventivo y correctivo en el sistema de protección de red contraincendios de la UPME.</t>
  </si>
  <si>
    <t>111-5</t>
  </si>
  <si>
    <t>111-5 Prestar el servicio de mantenimiento menor para los vehículos oficiales de propiedad de la UPME.</t>
  </si>
  <si>
    <t>111-6</t>
  </si>
  <si>
    <t>111-6 Prestar el servicio de mantenimiento preventivo y correctivo para los dos (2) vehículos oficiales de la upme.</t>
  </si>
  <si>
    <t>111-7</t>
  </si>
  <si>
    <t>111-7 Prestar el servicio de mantenimiento y recarga de extintores de la unidad.</t>
  </si>
  <si>
    <t>111-8</t>
  </si>
  <si>
    <t>44103125;81101707</t>
  </si>
  <si>
    <t>111-8 Prestar el servicio de mantenimiento preventivo y correctivo con repuestos para las impresoras, escáneres y fotocopiadoras de propiedad de la unidad.</t>
  </si>
  <si>
    <t>111-9</t>
  </si>
  <si>
    <t>111-9 Prestar el servicio de mantenimiento preventivo del sistema de cámaras de video -CCTV instalados en la sede administrativa de la UPME.</t>
  </si>
  <si>
    <t>111-10</t>
  </si>
  <si>
    <t>111-10 Prestar el servicio de mantenimiento y arreglos locativos requeridos en la sede administrativa de la UPME.</t>
  </si>
  <si>
    <t>111-11</t>
  </si>
  <si>
    <t>A-02-02-01-003-002</t>
  </si>
  <si>
    <t>111-11 Adquirir elementos de impresora y/o fotocopiadora (Toners).</t>
  </si>
  <si>
    <t>111-12</t>
  </si>
  <si>
    <t>A-02-02-02-009-007</t>
  </si>
  <si>
    <t>111-12 Prestar el servicio de arrendamiento para bodegaje y administración integral del archivo central de la UPME.</t>
  </si>
  <si>
    <t>111-13</t>
  </si>
  <si>
    <t>A-02-02-02-006-008</t>
  </si>
  <si>
    <t>111-13 Prestar los servicios de mensajería certificada a nivel urbano, nacional e internacional, mensajeria electronica y de mensajería motorizada especializada a nivel urbano en la ciudad de Bogotá D.C.</t>
  </si>
  <si>
    <t>Aprobada</t>
  </si>
  <si>
    <t>111-14</t>
  </si>
  <si>
    <t>A-02-02-02-008-009</t>
  </si>
  <si>
    <t>111-14 Prestar el servicio de publicación en el diario oficial de los actos administrativos de carácter general emitidos por la UPME.</t>
  </si>
  <si>
    <t>111-15</t>
  </si>
  <si>
    <t>A-02-02-02-006-003</t>
  </si>
  <si>
    <t>111-15 Prestar el servicio de apoyo logístico para atender las reuniones del consejo directivo de la UPME o las que la dirección general determine para apoyar actividades del sector en la vigencia 2025.</t>
  </si>
  <si>
    <t>111-16</t>
  </si>
  <si>
    <t>84131607;84131500</t>
  </si>
  <si>
    <t>A-02-02-02-007-001</t>
  </si>
  <si>
    <t>111-16 Adquirir servicio de seguros obligatorio de accidente de tránsito SOAT.</t>
  </si>
  <si>
    <t>111-17</t>
  </si>
  <si>
    <t>84131501;84131607;84131514;84131500;84131603</t>
  </si>
  <si>
    <t>111-17 Adquirir las pólizas de seguros que amparen los bienes muebles, inmuebles e intereses patrimoniales asegurables de su propiedad y de aquellos por los que sea o llegare a ser legalmente responsable, ubicados a nivel nacional.</t>
  </si>
  <si>
    <t>111-18</t>
  </si>
  <si>
    <t>111-18 Adquirir póliza todo riesgo para los vehículos de la UPME.</t>
  </si>
  <si>
    <t>111-19</t>
  </si>
  <si>
    <t>A-02-02-01-003-003</t>
  </si>
  <si>
    <t>111-19 Suministrar la gasolina para los vehiculos oficiales de propiedad de la upme.</t>
  </si>
  <si>
    <t>111-20</t>
  </si>
  <si>
    <t>A-02-02-01-002-008</t>
  </si>
  <si>
    <t>111-20 Suministrar tarjetas electrónicas canjeables por calzado y vestido de labor para la dotación de los servidores de la UPME para la vigencia 2025.</t>
  </si>
  <si>
    <t>111-21</t>
  </si>
  <si>
    <t>A-02-01-01-004-005</t>
  </si>
  <si>
    <t>111-21 Adquisición de Activos Fijos</t>
  </si>
  <si>
    <t>111-22</t>
  </si>
  <si>
    <t>A-02-02-02-008-004</t>
  </si>
  <si>
    <t>111-22 Prestar el servicios de internet dedicado para las oficinas de la unidad.</t>
  </si>
  <si>
    <t>111-23</t>
  </si>
  <si>
    <t>111-23 Adquirir elementos de papeleria y oficina.</t>
  </si>
  <si>
    <t>111-24</t>
  </si>
  <si>
    <t>A-02-02-02-009-003</t>
  </si>
  <si>
    <t>111-24 Prestar los servicios para realizar los exámenes médicos periódicos ocupacionales en la vigencia 2025 para los servidores públicos de la Unidad de Planeación Minero Energética - UPME.</t>
  </si>
  <si>
    <t>111-25</t>
  </si>
  <si>
    <t>111-25 Prestar los servicios para realizar exámenes médicos de vinculación (Ingreso) y desvinculación (Retiro) de los funcionarios de la Unidad de Planeación Minero Energética.</t>
  </si>
  <si>
    <t>111-26</t>
  </si>
  <si>
    <t>A-02-02-02-009-006</t>
  </si>
  <si>
    <t>111-26 Prestar los servicios para la ejecución y promoción de las iniciativas, actividades y estrategias del Plan de Bienestar social, estímulos e Incentivos para la vigencia 2025, dirigido a los servidores de la entidad y sus familias.</t>
  </si>
  <si>
    <t>111-27</t>
  </si>
  <si>
    <t>A-02-02-01-003-005</t>
  </si>
  <si>
    <t>111-27 Adquirir los elementos e insumos para dotar los botiquines de las brigadas de emergencia y compra de elementos de bioseguridad para los servidores públicos de la UPME.</t>
  </si>
  <si>
    <t>111-28</t>
  </si>
  <si>
    <t>A-02-02-02-008-003</t>
  </si>
  <si>
    <t>111-28 Realizar la interventoría a la segunda fase de las adecuaciones a la infraestructura de la sede administrativa de la UPME.</t>
  </si>
  <si>
    <t>111-29</t>
  </si>
  <si>
    <t>111-29 Prestar los servicios profesionales y asesoría especializada para el desarrollo de actividades relacionadas con la gestión tributaria de la entidad a cargo del Grupo Interno de Trabajo de Gestión Financiera de la Secretaría General, todo de conformidad con lo señalado en los estudios previos y la propuesta, los cuales forman parte integral del contrato.</t>
  </si>
  <si>
    <t>Hollman Corredor</t>
  </si>
  <si>
    <t>Coordinador GIT Gestión Financiera</t>
  </si>
  <si>
    <t>hollman.corredor@upme.gov.co</t>
  </si>
  <si>
    <t>111-30</t>
  </si>
  <si>
    <t>111-30 Prestar servicios profesionales para adelantar los asuntos jurídicos derivados de la gestión del talento humano de la Unidad de Planeación Minero Energética.</t>
  </si>
  <si>
    <t>111-31</t>
  </si>
  <si>
    <t>111-31 Prestar los servicios profesionales de Servicio de Área Protegida (SAP) para todas las personas que se encuentren en las instalaciones de la Unidad de Planeación Minero Energética en el caso de presentarse una emergencia y/o urgencia como parte del Plan de Emergencia de la Entidad.</t>
  </si>
  <si>
    <t>111-32</t>
  </si>
  <si>
    <t>111-32 Prestar los servicios profesionales para apoyar y gestionar las actividades relacionadas con el proceso de atención al ciudadano y la política de participación ciudadana de la UPME.</t>
  </si>
  <si>
    <t>111-33</t>
  </si>
  <si>
    <t>111-33 Prestar los servicios profesionales para apoyar las actividades relacionadas con la gestión administrativa de la Secretaría General de la UPME.</t>
  </si>
  <si>
    <t>111-34</t>
  </si>
  <si>
    <t>A-02-02-02-005-004</t>
  </si>
  <si>
    <t>111-34 Realizar la segunda fase de las adecuaciones a la infraestructura de la sede administrativa de la UPME.</t>
  </si>
  <si>
    <t>111-35</t>
  </si>
  <si>
    <t>111-35 Alquilar espacios de oficina (coworking) en virtud del proyecto de modernización organizacional para la unidad de planeación minero energética.</t>
  </si>
  <si>
    <t>111-36</t>
  </si>
  <si>
    <t>111-36 Prestar los servicios profesionales en las acciones relacionadas con la capacidad administrativa de los bienes y servicios requeridos por la UPME.</t>
  </si>
  <si>
    <t>111-37</t>
  </si>
  <si>
    <t>A-02-02-02-009-002</t>
  </si>
  <si>
    <t>111-37 Contratar los servicios profesionales para adelantar la ejecución de actividades formativas  de carácter transversal y estratégico, previstas en el Plan Institucional de Capacitación (PIC) de la vigencia 2025,  dirigido a las servidoras/es públicos de la Unidad de Planeación Minero Energética</t>
  </si>
  <si>
    <t>111-38</t>
  </si>
  <si>
    <t>111-38 Contratar los servicios profesionales para adelantar la ejecución de actividades formativas  de carácter transversal y estratégico, previstas en el Plan Institucional de Capacitación (PIC) de la vigencia 2025,  dirigido a las servidoras/es públicos de la Unidad de Planeación Minero Energética</t>
  </si>
  <si>
    <t>111-39</t>
  </si>
  <si>
    <t>111-39 Contratar los servicios profesionales para el desarrollo de actividades formativas de carácter misional, previstas en el Plan Institucional de Capacitación (PIC) de la vigencia 2025,  dirigido a las servidoras/es públicos de la Unidad de Planeación Minero Energética</t>
  </si>
  <si>
    <t>111-40</t>
  </si>
  <si>
    <t>A-05-01-02-008-003 SERVICIOS PROFESIONALES, CIENTÍFICOS Y TÉCNICOS</t>
  </si>
  <si>
    <t>111-40 Prestar los servicios profesionales para apoyar y gestionar las actividades relacionadas con el proceso de atención al ciudadano y la política de participación ciudadana de la UPME.</t>
  </si>
  <si>
    <t>Nicolas Mejía</t>
  </si>
  <si>
    <t>Coordinador GIT Gestion Administrativa</t>
  </si>
  <si>
    <t>oscar.mejia@upme.gov.co</t>
  </si>
  <si>
    <t>111-41</t>
  </si>
  <si>
    <t>111-41 Contratar el servicio de enlace dedicado a internet para la UPME</t>
  </si>
  <si>
    <t>111-42</t>
  </si>
  <si>
    <t>111-42 Prestar servicios profesionales para apoyar la sustanciación y revisión de actos administrativos, respuestas a derechos de petición, conceptos, circulares; así como los procesos disciplinarios adelantados en la Secretaría General de la UPME</t>
  </si>
  <si>
    <t>111-43</t>
  </si>
  <si>
    <t xml:space="preserve">111-43 Prestar los servicios profesionales para apoyar y gestionar las actividades relacionadas con el proceso de atención al ciudadano y la implementación, seguimiento y fortalecimiento de la política de participación ciudadana, de la UPME.                                </t>
  </si>
  <si>
    <t>111-44</t>
  </si>
  <si>
    <t>111-44 Prestar los servicios profesionales para apoyar y tramitar las actividades asociadas con el proceso de atención al ciudadano y la política de participación ciudadana y los planes institucionales de la UPME</t>
  </si>
  <si>
    <t>111-45</t>
  </si>
  <si>
    <t xml:space="preserve">111-45 Prestar servicios profesionales para apoyar la sustanciación y revisión de actos administrativos, respuestas a derechos de petición, conceptos y circulares adelantadas en la Secretaría General de la UPME					</t>
  </si>
  <si>
    <t>111-46</t>
  </si>
  <si>
    <t>111-46 Prestar servicios profesionales para el desarrollo de actividades relacionadas con el seguimiento, análisis y control de la gestión presupuestal, en el marco de los procesos de planeación institucional, sostenibilidad fiscal y gestión del conocimiento de la Unidad de Planeación Minero Energética – UPME.</t>
  </si>
  <si>
    <t>Coordinador Git Financiera</t>
  </si>
  <si>
    <t>111-47</t>
  </si>
  <si>
    <t>A-02-02-02-008-002</t>
  </si>
  <si>
    <t>111-47 Prestar los servicios profesionales para el acompañamiento y seguimiento jurídico a las etapas pre contractual, contractual y pos contractual, así como, reporte de información en las diferentes plataformas y aplicaciones asociadas al proceso contractual, y la generación de informes de temas relacionados con Gestión Contractual en especial, lo relacionado con la Secretaría General.</t>
  </si>
  <si>
    <t>Coordinadora GIT Contractual</t>
  </si>
  <si>
    <t>Angela.lobo@upme.gov.co</t>
  </si>
  <si>
    <t>111-48</t>
  </si>
  <si>
    <t>111-48 Prestar el servicio de apoyo en todo lo relacionado con la gestión administrativa, la gestión documental, el manejo de la correspondencia y demás asuntos administrativos requeridos por la Unidad de Planeación Minero Energética – UPME</t>
  </si>
  <si>
    <t>111-49</t>
  </si>
  <si>
    <t>111-49 Prestar servicios profesionales para apoyar los procesos contractuales de la entidad en sus diferentes etapas, así como mantener actualizados los expedientes contractuales, bases de datos y sistemas de gestión documental del GIT de Gestión Contractual.</t>
  </si>
  <si>
    <t>111-50</t>
  </si>
  <si>
    <t>111-50 Prestar el servicio de apoyo  en las etapas precontractual y contractual, en el marco de la gestión administrativa y los procesos internos del grupo de gestión administrativa de la secretaría general de la UPME.</t>
  </si>
  <si>
    <t>111-51</t>
  </si>
  <si>
    <t>111-51 Prestar servicios profesionales para apoyar la proyección, revisión y trámite de actos administrativos y demás actividades relacionadas con los procesos del área de talento humano de la UPME, conforme a los lineamientos de la entidad</t>
  </si>
  <si>
    <t>111-52</t>
  </si>
  <si>
    <t>111-52 Prestar el servicio de apoyo  en las etapas precontractual y contractual, en el marco de la gestión administrativa y los procesos internos del grupo de gestión administrativa de la secretaría general de la UPME.</t>
  </si>
  <si>
    <t>Jenny Patricia Peña</t>
  </si>
  <si>
    <t>jenny.pena@upme.gov.co</t>
  </si>
  <si>
    <t>111-53</t>
  </si>
  <si>
    <t>111-53 Prestar el servicio de apoyo  en las etapas precontractual y contractual, en el marco de la gestión administrativa y los procesos internos del grupo de gestión administrativa de la secretaría general de la UPME.</t>
  </si>
  <si>
    <t>111-54</t>
  </si>
  <si>
    <t>111-54 Prestar los servicios de apoyo a la gestión para el desarrollo de actividades enmarcadas en el cumplimiento del Plan de Bienestar y Seguridad y Salud en el trabajo.</t>
  </si>
  <si>
    <t>Coordinador GIT Talento humano</t>
  </si>
  <si>
    <t>katherin.perez@upme.gov.co</t>
  </si>
  <si>
    <t>111-55</t>
  </si>
  <si>
    <t>111-55 Prestar servicios profesionales para la gestión, seguimiento y control de los procesos financieros de la UPME, en cumplimiento de las funciones asignadas al área financiera, conforme a la normatividad vigente y las directrices institucionales.</t>
  </si>
  <si>
    <t>Coordinador GIT Financiera</t>
  </si>
  <si>
    <t>161-1</t>
  </si>
  <si>
    <t>161-1 Prestar los servicios profesionales para realizar el seguimiento y control de las actividades administrativas, financieras y contractuales y demás que se requieran para el cumplimiento de las metas y objetivos de la Subdirección de Demanda.</t>
  </si>
  <si>
    <t>161-2</t>
  </si>
  <si>
    <t>161-2 Prestar los servicios profesionales para realizar el seguimiento y control de los procesos contractuales, la ejecución presupuestal y demás actividades que se requieran para el cumplimiento de las metas y objetivos de la Subdirección de Demanda, asociados a las iniciativas y proyectos de FNCE, GEE e Hidrogeno.</t>
  </si>
  <si>
    <t>161-3</t>
  </si>
  <si>
    <t>161-3 Prestar servicios profesionales para el análisis de información y documentos de los procesos asociados al análisis de proyectos de Fuentes No Convencionales de Energía y Gestión Eficiente de la Energía, y los asociados a la planeación energética de largo plazo.</t>
  </si>
  <si>
    <t>161-4</t>
  </si>
  <si>
    <t>161-4 Prestar los servicios profesionales para realizar el seguimiento y control de los tramites de pagos y certificados de cumplimiento asociados a la ejecución presupuestal y demás actividades que se requieran para el cumplimiento de las metas y objetivos de la Subdirección de Demanda, asociados a las iniciativas y proyectos de FNCE, GEE e Hidrogeno.</t>
  </si>
  <si>
    <t>161-5</t>
  </si>
  <si>
    <t>161-5 Prestar servicios profesionales para la evaluación y análisis de la información de los proyectos de Fuentes No Convencionales de Energía y Gestión Eficiente de la Energía.</t>
  </si>
  <si>
    <t>161-6</t>
  </si>
  <si>
    <t>161-6 Prestar servicios profesionales para la evaluación y análisis de la información de los proyectos de Fuentes No Convencionales de Energía y Gestión Eficiente de la Energía.</t>
  </si>
  <si>
    <t>161-7</t>
  </si>
  <si>
    <t>161-7 Prestar servicios profesionales para la evaluación y análisis de la información de los proyectos de Fuentes No Convencionales de Energía y Gestión Eficiente de la Energía.</t>
  </si>
  <si>
    <t>161-8</t>
  </si>
  <si>
    <t>161-8 Prestar servicios profesionales para la evaluación y análisis de la información de los proyectos de Fuentes No Convencionales de Energía y Gestión Eficiente de la Energía.</t>
  </si>
  <si>
    <t>161-9</t>
  </si>
  <si>
    <t>161-9 Prestar servicios profesionales para la evaluación y análisis de la información de los proyectos de Fuentes No Convencionales de Energía y Gestión Eficiente de la Energía.</t>
  </si>
  <si>
    <t>161-10</t>
  </si>
  <si>
    <t>161-10 Prestar servicios profesionales para la evaluación y análisis de la información de los proyectos de Fuentes No Convencionales de Energía y Gestión Eficiente de la Energía.</t>
  </si>
  <si>
    <t>161-11</t>
  </si>
  <si>
    <t>161-11 Prestar servicios profesionales para la evaluación y análisis de la información de los proyectos de Fuentes No Convencionales de Energía y Gestión Eficiente de la Energía.</t>
  </si>
  <si>
    <t>161-12</t>
  </si>
  <si>
    <t>161-12 Prestar servicios profesionales para la evaluación, análisis y actualización de la información de los proyectos de Fuentes No Convencionales de Energía, Gestión Eficiente de la Energía e Hidrógeno presentados a la UPME.</t>
  </si>
  <si>
    <t>161-13</t>
  </si>
  <si>
    <t>161-13 Prestar servicios profesionales para la evaluación, análisis y actualización de la información de los proyectos de Fuentes No Convencionales de Energía, Gestión Eficiente de la Energía e Hidrógeno presentados a la UPME.</t>
  </si>
  <si>
    <t>161-14</t>
  </si>
  <si>
    <t>161-14 Prestar servicios profesionales para el acompañamiento en los procesos de auditoria y cumplimiento de los planes de mejoramiento, así como  la evaluación y análisis de la información de los proyectos asociados a los Incentivos Tributarios de la UPME.</t>
  </si>
  <si>
    <t>161-15</t>
  </si>
  <si>
    <t>161-15 Prestar servicios profesionales para el acompañamiento en los procesos de auditoria y cumplimiento de los planes de mejoramiento, así como la evaluación y análisis de la información de los proyectos asociados a los Incentivos Tributarios de la UPME.</t>
  </si>
  <si>
    <t>161-16</t>
  </si>
  <si>
    <t>161-16 Prestar servicios profesionales para el acompañamiento en los procesos de auditoria y cumplimiento de los planes de mejoramiento, así como la evaluación y análisis de la información de los proyectos asociados a los Incentivos Tributarios de la UPME.</t>
  </si>
  <si>
    <t>161-17</t>
  </si>
  <si>
    <t>161-17 Prestar servicios profesionales para la evaluación, análisis, creación y actualización de estadisticas e indicadores de los proyectos de Fuentes No Convencionales de Energía, Gestión Eficiente de la Energía e Hidrógeno presentados a la UPME.</t>
  </si>
  <si>
    <t>161-18</t>
  </si>
  <si>
    <t>161-18 Prestar servicios profesionales para la evaluación, análisis, creación y actualización de estadisticas e indicadores de los proyectos de Fuentes No Convencionales de Energía, Gestión Eficiente de la Energía e Hidrógeno presentados a la UPME.</t>
  </si>
  <si>
    <t>161-19</t>
  </si>
  <si>
    <t>161-19 Prestar servicios profesionales para la evaluación, análisis, creación y actualización de estadisticas e indicadores de los proyectos de Fuentes No Convencionales de Energía, Gestión Eficiente de la Energía e Hidrógeno presentados a la UPME.</t>
  </si>
  <si>
    <t>161-20</t>
  </si>
  <si>
    <t>161-20 Prestar servicios profesionales para la evaluación, análisis, construcción y consolidación de procedimiento de evaluación de los proyectos de Fuentes No Convencionales de Energía, Gestión Eficiente de la Energía e Hidrógeno presentados a la UPME.</t>
  </si>
  <si>
    <t>161-21</t>
  </si>
  <si>
    <t>161-21 Prestar servicios profesionales para la evaluación, análisis, construcción y consolidación de procedimiento de evaluación de los proyectos de Fuentes No Convencionales de Energía, Gestión Eficiente de la Energía e Hidrógeno presentados a la UPME.</t>
  </si>
  <si>
    <t>161-22</t>
  </si>
  <si>
    <t>161-22 Prestar servicios profesionales para la evaluación y análisis, así como la conceptualización de solicitudes de ampliación de listados de los proyectos de Fuentes No Convencionales de Energía, Gestión Eficiente de la Energía e Hidrógeno presentados a la UPME.</t>
  </si>
  <si>
    <t>161-23</t>
  </si>
  <si>
    <t>161-23 Prestar servicios profesionales para la evaluación y análisis, así como la conceptualización de solicitudes de ampliación de listados de los proyectos de Fuentes No Convencionales de Energía, Gestión Eficiente de la Energía e Hidrógeno presentados a la UPME.</t>
  </si>
  <si>
    <t>161-24</t>
  </si>
  <si>
    <t>161-24 Prestar servicios profesionales para el acompañamiento en los procesos de auditoria y cumplimiento de los planes de mejoramiento, así como la evaluación y análisis de la información de los proyectos asociados a los Incentivos Tributarios de la UPME.</t>
  </si>
  <si>
    <t>161-25</t>
  </si>
  <si>
    <t>161-25 Prestar servicios profesionales para apoyar la estandarización de procedimientos, evaluación técnica, análisis de los proyectos de Fuentes No Convencionales de Energía y de gas por redes presentados a la UPME.</t>
  </si>
  <si>
    <t>161-26</t>
  </si>
  <si>
    <t>161-26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</si>
  <si>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161-27</t>
  </si>
  <si>
    <t>161-27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</si>
  <si>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161-28</t>
  </si>
  <si>
    <t>161-28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</si>
  <si>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161-29</t>
  </si>
  <si>
    <t>161-29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</si>
  <si>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161-30</t>
  </si>
  <si>
    <t>161-30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</si>
  <si>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161-31</t>
  </si>
  <si>
    <t>161-31 Prestar servicios profesionales para el apoyo a la Subdirección de demanda en la construcción de documentos de planeación relacionados con la integración del hidrógeno y la bioenergía, así como en la evaluación y análisis de la información de los proyectos asociados a los incentivos tributarios de la UPME.</t>
  </si>
  <si>
    <t>161-32</t>
  </si>
  <si>
    <t>161-32 Prestar servicios profesionales para la divulgación y socialización de los procesos asociados a los proyectos De Fuentes no convencionales de energía, gestión eficiente de la energía y los asociados a la planeación energética a largo plazo.</t>
  </si>
  <si>
    <t>161-33</t>
  </si>
  <si>
    <t>161-33 Prestar servicios profesionales para la construcción de modelos matemáticos y de analítica de datos, la elaboración y divulgación de documentos de planeación, en el marco de la Transición Energética Justa, TEJ.</t>
  </si>
  <si>
    <t>161-34</t>
  </si>
  <si>
    <t>161-34 Prestar servicios profesionales para realizar la gestión y análisis de información, construcción de bases de datos, formulación y seguimiento a las estadísticas e indicadores de impacto de los incentivos tributarios, con enfoque territorial.</t>
  </si>
  <si>
    <t>161-35</t>
  </si>
  <si>
    <t>161-35 Diseñar y estructurar el contenido técnico y la propuesta de acreditación y certificación del programa de capacitación para gestores energéticos</t>
  </si>
  <si>
    <t>161-36</t>
  </si>
  <si>
    <t>A-05-01-02-008-002 SERVICIOS JURIDICOS Y CONTABLES</t>
  </si>
  <si>
    <t>161-36 Prestar servicios profesionales para la gestión jurídica relacionada con la actualizacion normativa que rige el proceso de incentivos tributarios, la respuesta oportuna a PQRS y a los recursos administrativos contra las decisiones en la evaluación de los proyectos de Fuentes No Convencionales de Energía, Gestión Eficiente de la Energía e Hidrógeno.</t>
  </si>
  <si>
    <t>161-37</t>
  </si>
  <si>
    <t>161-37 Prestar servicios profesionales para la gestión jurídica relacionada con la respuesta oportuna a PQRS y a los recursos administrativos contra las decisiones en la evaluación de los proyectos de Fuentes No Convencionales de Energía, Gestión Eficiente de la Energía e Hidrógeno.</t>
  </si>
  <si>
    <t>161-38</t>
  </si>
  <si>
    <t>161-38 Prestar los servicios profesionales para asesorar a la Subdirección de Demanda en el Marco Legal y Regulatorio de los planes priorizados, y los aspectos jurídicos de los procesos y actualización administrativas de los proyectos Fuentes No Convencionales de Energía, Gestión Eficiente de la Energía e Hidrógeno; en el marco de la transición energética justa.</t>
  </si>
  <si>
    <t>161-39</t>
  </si>
  <si>
    <t>161-39 Prestar servicios profesionales para asesorar a la Subdirección de Demanda en la gestión jurídica relacionada con la reglamentación normativa de beneficios tributarios y las respuestas a recursos administrativos de decisiones sobre evaluaciones; de proyectos de Fuentes No Convencionales de Energía, Gestión Eficiente de la Energía e Hidrógeno.</t>
  </si>
  <si>
    <t>161-40</t>
  </si>
  <si>
    <t>161-40 Prestar los servicios profesionales para apoyar en los procesos de gestión documental y el apoyo en el marco legal y regulatorio relacionados con las de las metas y objetivos de la Subdirección de Demanda, asociados a las iniciativas y proyectos de FNCE y GEE.</t>
  </si>
  <si>
    <t>161-41</t>
  </si>
  <si>
    <t>161-41 Prestar servicios profesionales en el diseño y automatización de procesos sobre la plataforma adoptada en la UPME, en especial aquellos relacionados con el proceso asociado al tramite de incentivos tributarios.</t>
  </si>
  <si>
    <t>161-42</t>
  </si>
  <si>
    <t>161-42 Prestar los servicios profesionales para la formulación, actualización y seguimiento a la ejecución presupuestal, procesos contractuales, planes institucionales y proyectos de inversión de la Unidad de Planeación Minero Energética asignados, así como los relacionados con proyectos de Fuentes No Convencionales de Energía, Gestión Eficiente de la Energía e Hidrógeno.</t>
  </si>
  <si>
    <t>161-43</t>
  </si>
  <si>
    <t>161-43 Prestar servicios profesionales para apoyar la implementación de la estrategia de cooperación internacional y las acciones institucionales, para el fortalecimiento de la Unidad.</t>
  </si>
  <si>
    <t>161-44</t>
  </si>
  <si>
    <t>161-44 Prestar servicios profesionales para la gestión jurídica relacionada con la respuesta oportuna a PQRS y la emisión de los actos administrativos misionales de la UPME, en particular, lo relacionado con las FNCE y GEE.</t>
  </si>
  <si>
    <t>161-45</t>
  </si>
  <si>
    <t>161-45 Prestar servicios profesionales para la gestión jurídica en los asuntos de competencia de la UPME, en especial, lo relacionado con las FNCE y GEE.</t>
  </si>
  <si>
    <t>161-46</t>
  </si>
  <si>
    <t>161-46 Prestar servicios profesionales en asuntos jurídicos y judiciales relacionados con la FNCE y GEE y demás objetivos y productos de la misionalidad de la UPME.</t>
  </si>
  <si>
    <t>161-47</t>
  </si>
  <si>
    <t>161-47 Prestar servicios profesionales orientados al fortalecimiento de la dimensión de control interno a través de la ejecución del Plan Anual de Auditorías con énfasis en la evaluación y seguimiento de recursos financieros de la UPME.</t>
  </si>
  <si>
    <t>161-48</t>
  </si>
  <si>
    <t>161-48 Prestar servicios profesionales orientados al fortalecimiento de la política de control interno mediante la ejecución del Plan Anual de Auditorías con énfasis en la gestión administrativa de la UPME.</t>
  </si>
  <si>
    <t>161-49</t>
  </si>
  <si>
    <t>161-49 Prestar los servicios profesionales para el acompañamiento y seguimiento jurídico a las etapas pre contractual, contractual y pos contractual, así como, reporte de información en las diferentes plataformas y aplicaciones asociadas al proceso contractual, y la generación de informes de temas relacionados con Gestión Contractual en especial, lo relacionado con la Subdirección de Demanda.</t>
  </si>
  <si>
    <t>Edith Carolina Chaves</t>
  </si>
  <si>
    <t>edith.chaves@upme.gov.co</t>
  </si>
  <si>
    <t>161-50</t>
  </si>
  <si>
    <t>161-50 Prestar los servicios profesionales para el desarrollo de actividades relacionadas con la gestión y el seguimiento presupuestal en el marco del direccionamiento estratégico de la Entidad.</t>
  </si>
  <si>
    <t>161-51</t>
  </si>
  <si>
    <t>84111701;84101501</t>
  </si>
  <si>
    <t>A-05-01-02-007-001 SERVICIOS FINANCIEROS Y CONEXOS</t>
  </si>
  <si>
    <t>161-51 Constituir una Fiducia Mercantil, a través del cual se recibirán y administrarán los recursos provenientes de los terceros que utilicen o soliciten servicios técnicos o de planeación y asesoría a la Unidad de Planeación Minero Energética - UPME.</t>
  </si>
  <si>
    <t>161-52</t>
  </si>
  <si>
    <t>161-52 Prestar el servicio de apoyo en todo lo relacionado con los asuntos de correspondencia de los trámites relacionados con los certificados de proyectos de Fuentes no Convencionales de Energía y Gestión Eficiente de la Energía y demás asuntos de la Entidad.</t>
  </si>
  <si>
    <t>Coordinadora GIT Gestión Administrativa y Servicio al Ciudadano</t>
  </si>
  <si>
    <t>161-53</t>
  </si>
  <si>
    <t>161-53 Prestar los servicios profesionales para la gestión en la ejecución de los ingresos y gastos de comercialización y producción, apoyo en el seguimiento técnico, administrativo y financiero al cumplimiento del objeto del contrato de la fiducia mercantil y apoyo en las actividades relacionadas de la gestión de tesorería.</t>
  </si>
  <si>
    <t>161-54</t>
  </si>
  <si>
    <t>A-05-01-02-007-002 SERVICIOS INMOBILIARIOS</t>
  </si>
  <si>
    <t>161-54 Alquilar espacios de oficina (coworking) en virtud del proyecto de modernización organizacional para la Unidad de Planeación Minero Energética.</t>
  </si>
  <si>
    <t>161-55</t>
  </si>
  <si>
    <t>161-55 Prestar los servicios profesionales y asesoría para fortalecer la apropiación del proceso contable de la entidad, así como el control de la información de los activos de la entidad.</t>
  </si>
  <si>
    <t>161-56</t>
  </si>
  <si>
    <t>161-56 Prestar los servicios profesionales para el apoyo administrativo relacionados con el contrato de la fiducia mercantil, gestión de tesorería a cargo de GIT de Gestión Financiera.</t>
  </si>
  <si>
    <t>161-57</t>
  </si>
  <si>
    <t>A-05-01-02-006-008 SERVICIOS POSTALES Y DE MENSAJERIA</t>
  </si>
  <si>
    <t>161-57 Prestar los servicios de mensajería certificada a nivel urbano, nacional e internacional, mensajeria electronica y de mensajería motorizada especializada a nivel urbano en la ciudad de Bogotá D.C.</t>
  </si>
  <si>
    <t>161-58</t>
  </si>
  <si>
    <t>161-58 Prestar los servicios profesionales para realizar el seguimiento y control de los tramites de pagos y certificados de cumplimiento asociados a la ejecución presupuestal y demás actividades que se requieran para el cumplimiento de las metas y objetivos de la Subdirección de Demanda, asociados a las iniciativas y proyectos de FNCE, GEE e Hidrogeno.</t>
  </si>
  <si>
    <t>161-59</t>
  </si>
  <si>
    <t>161-59 Prestar servicios profesionales para la gestión jurídica en las actuaciones administrativas misionales, y lo que de ello se derive, contribuyendo al desempeño institucional de la Entidad, en particular, lo relacionado con las FNCE y GEE.</t>
  </si>
  <si>
    <t>161-60</t>
  </si>
  <si>
    <t>Impuesto</t>
  </si>
  <si>
    <t>161-60 4X1000</t>
  </si>
  <si>
    <t>161-61</t>
  </si>
  <si>
    <t>161-61 Prestar servicios profesionales para la evaluación, análisis, actualización y el cumplimiento de la regulación vigente de la información de los proyectos asociados a los Incentivos Tributarios de la UPME.</t>
  </si>
  <si>
    <t>161-62</t>
  </si>
  <si>
    <t>161-62 Prestación de servicios profesionales para la gestión oportuna de los procesos asociados a las peticiones, quejas, reclamos y sugerencias asignadas, así como a la proyección documental y soporte al trámite de incentivos tributarios.</t>
  </si>
  <si>
    <t>161-63</t>
  </si>
  <si>
    <t>161-63 Prestar servicios profesionales para el acompañamiento en los procesos de auditoria y cumplimiento de los planes de mejoramiento, así como la evaluación y análisis de la información de los proyectos asociados a los Incentivos Tributarios de la UPME.</t>
  </si>
  <si>
    <t>161-64</t>
  </si>
  <si>
    <t>161-64 Prestar servicios profesionales para el acompañamiento en los procesos de auditoria y cumplimiento de los planes de mejoramiento, así como la evaluación y análisis de la información de los proyectos asociados a los Incentivos Tributarios de la UPME.</t>
  </si>
  <si>
    <t>161-65</t>
  </si>
  <si>
    <t>161-65 Contratar el suministro de una solución tecnológica integral en la modalidad de software como servicio (SaaS), que permita la gestión unificada de los procesos de nómina, recursos humanos, administración de contratistas, y el control de bienes y servicios de la entidad</t>
  </si>
  <si>
    <t>161-66</t>
  </si>
  <si>
    <t>161-66 Prestar los servicios profesionales para la gestión en la ejecución de los ingresos y gastos de comercialización y producción, apoyo en el seguimiento técnico, administrativo y financiero al cumplimiento del objeto del contrato de la fiducia mercantil y apoyo en las actividades relacionadas de la gestión de tesorería</t>
  </si>
  <si>
    <t>161-67</t>
  </si>
  <si>
    <t xml:space="preserve">A-05-01-02-008-003			</t>
  </si>
  <si>
    <t xml:space="preserve">161-67 Prestar servicios profesionales para el acompañamiento en los procesos de auditoria y cumplimiento de los planes de mejoramiento, así como  la evaluación y análisis de la información de los proyectos asociados a los Incentivos Tributarios de la UPME.					</t>
  </si>
  <si>
    <t>161-68</t>
  </si>
  <si>
    <t xml:space="preserve">161-68 Prestación de servicios profesionales para la gestión de requerimientos contractuales, así como para la formulación, seguimiento, reporte y ejecución de instrumentos de planeación y metas institucionales.                                   </t>
  </si>
  <si>
    <t>Hector Herrera</t>
  </si>
  <si>
    <t>Subdirector de Demanda (E)</t>
  </si>
  <si>
    <t>hector.herrera@upme.gov.co</t>
  </si>
  <si>
    <t>161-69</t>
  </si>
  <si>
    <t xml:space="preserve">161-69 Prestar servicios profesionales especializados en arquitectura empresarial, automatización avanzada de procesos y desarrollo de soluciones tecnológicas sobre la plataforma Bizagi en el tramite de Incentivos Tributarios y otros entornos compatibles adoptados por la UPME.					</t>
  </si>
  <si>
    <t>161-70</t>
  </si>
  <si>
    <t>A-05-01-02-008-003</t>
  </si>
  <si>
    <t>161-70 Prestación de servicios profesionales orientados  generar prospectiva energética, así como a definir, estructurar e implementar herramientas avanzadas de analítica de datos a través del uso de herramientas matemáticas y estadísticas.</t>
  </si>
  <si>
    <t>161-71</t>
  </si>
  <si>
    <t>161-71 Prestación de servicios profesionales para el análisis jurídico y la proyección de las respuestas a las PQRS de la entidad, estableciendo mecanismos de optimización para el cumplimiento de los términos legal e institucionalmente previstos</t>
  </si>
  <si>
    <t>161-72</t>
  </si>
  <si>
    <t>161-72 Prestación de servicios profesionales para el apoyo jurídico en la estructuración de respuestas institucionales asociadas con el trámite de incentivos tributarios</t>
  </si>
  <si>
    <t>161-73</t>
  </si>
  <si>
    <t>161-73 Prestación de servicios profesionales para el apoyo técnico en la estructuración de respuestas institucionales asociadas con el trámite de incentivos tributarios</t>
  </si>
  <si>
    <t>161-74</t>
  </si>
  <si>
    <t>161-74 Prestación de servicios profesionales para la articulación con comunidades energéticas y apoyo en la regionalización del Plan Energético Nacional (PEN)</t>
  </si>
  <si>
    <t>161-75</t>
  </si>
  <si>
    <t>161-75 Prestación de servicios profesionales para la gestión contractual de la entidad garantizando el cumplimiento de las disposiciones legales e institucionales</t>
  </si>
  <si>
    <t>161-76</t>
  </si>
  <si>
    <t>A-05-01-02-008-002</t>
  </si>
  <si>
    <t>161-76 Prestar servicios profesionales para la proyección y/o revisión jurídica de los documentos de tipo legal producto de las actuaciones administrativas misionales de competencia de la UPME, y lo que de ello se derive, contribuyendo al desempeño institucional de la Entidad.</t>
  </si>
  <si>
    <t>161-77</t>
  </si>
  <si>
    <t>161-77 Prestar el servicio de publicación en el diario oficial de los actos administrativos de carácter general emitidos por la UPME.</t>
  </si>
  <si>
    <t>161-78</t>
  </si>
  <si>
    <t>161-78 Actualización y soporte del sistema de gestión documental de la Unidad, basado en ARGO/ORFEOGPL, para la Unidad de Planeación Minero Energética -UPME.</t>
  </si>
  <si>
    <t>161-79</t>
  </si>
  <si>
    <t>161-79 Prestar servicios profesionales especializados en arquitectura empresarial, automatización avanzada de procesos y desarrollo de soluciones tecnológicas sobre la plataforma Bizagi en el tramite de Incentivos Tributarios y otros entornos compatibles adoptados por la UPME.</t>
  </si>
  <si>
    <t>161-80</t>
  </si>
  <si>
    <t>161-80 Prestar servicios profesionales para la proyección de documentos de contenido legal y apoyo de los asuntos de tipo jurídico que resulten de las actuaciones administrativas misionales de competencia de la UPME, en el marco de la gestión institucional de la Entidad.</t>
  </si>
  <si>
    <t>161-81</t>
  </si>
  <si>
    <t>161-81 Prestar servicios profesionales para la proyección de documentos de contenido legal y apoyo de los asuntos de tipo jurídico que resulten de las actuaciones administrativas misionales de competencia de la UPME, en el marco de la gestión institucional de la Entidad.</t>
  </si>
  <si>
    <t>161-82</t>
  </si>
  <si>
    <t>161-82 Prestar servicios profesionales para la proyección de documentos de contenido legal y apoyo de los asuntos de tipo jurídico que resulten de las actuaciones administrativas misionales de competencia de la UPME, en el marco de la gestión institucional de la Entidad.</t>
  </si>
  <si>
    <t>161-83</t>
  </si>
  <si>
    <t>161-83 Prestar servicios profesionales para la evaluación de inversiones en proyectos de Gestión Eficiente de la Energía, aplicando criterios técnicos y metodologías usadas en servicios de interventoría, a las solicitudes de incentivos tributarios de la UPME.</t>
  </si>
  <si>
    <t>161-84</t>
  </si>
  <si>
    <t>161-84 Prestar servicios profesionales para revisar, sustanciar y orientar jurídicamente los documentos y actividades asociadas a la gestión adelantada en el GIT de Gestión Contractual de la UPME, en especial, las relacionadas con los Incentivos Tributarios de la Subdirección de Demanda.</t>
  </si>
  <si>
    <t>Suma total</t>
  </si>
  <si>
    <t>Enfoque Territorial</t>
  </si>
  <si>
    <t>Tic</t>
  </si>
  <si>
    <t>Etiquetas de fila</t>
  </si>
  <si>
    <t>Recuento de OBJETO CONTRACTUAL</t>
  </si>
  <si>
    <t>Suma de Valor estimado en la vigencia actual</t>
  </si>
  <si>
    <t>Total general</t>
  </si>
  <si>
    <t>SUM de Compromisos Enero_Modificado</t>
  </si>
  <si>
    <t>SUM de Compromisos Febrero_Modificado</t>
  </si>
  <si>
    <t>SUM de Compromisos Marzo_Modificado</t>
  </si>
  <si>
    <t>SUM de Compromisos Abril_Modificado</t>
  </si>
  <si>
    <t>SUM de Compromisos Mayo_Modificado</t>
  </si>
  <si>
    <t>SUM de Compromisos Junio_Modificado</t>
  </si>
  <si>
    <t>SUM de Compromisos Julio_Modificado</t>
  </si>
  <si>
    <t>SUM de Compromisos Agosto_Modificado</t>
  </si>
  <si>
    <t>SUM de Compromisos Septiembre_Modificado</t>
  </si>
  <si>
    <t>SUM de Compromisos Octubre_Modificado</t>
  </si>
  <si>
    <t>SUM de Compromisos Noviembre_Modificado</t>
  </si>
  <si>
    <t>SUM de Compromisos Diciembre_Modificado</t>
  </si>
  <si>
    <t>PAA 2025 Inversión</t>
  </si>
  <si>
    <t>PAC 2025</t>
  </si>
  <si>
    <t>Diferencia</t>
  </si>
  <si>
    <t/>
  </si>
  <si>
    <t>SUM of Obligaciones Enero_Modificado</t>
  </si>
  <si>
    <t>SUM of Obligaciones Febrero_Modificado</t>
  </si>
  <si>
    <t>SUM of Obligaciones Marzo_Modificado</t>
  </si>
  <si>
    <t>SUM of Obligaciones Abril_Modificado</t>
  </si>
  <si>
    <t>SUM of Obligaciones Mayo_Modificado</t>
  </si>
  <si>
    <t>SUM of Obligaciones Junio_Modificado</t>
  </si>
  <si>
    <t>SUM of Obligaciones Julio_Modificado</t>
  </si>
  <si>
    <t>SUM of Obligaciones Agosto_Modificado</t>
  </si>
  <si>
    <t>SUM of Obligaciones Septiembre_Modificado</t>
  </si>
  <si>
    <t>SUM of Obligaciones Octubre_Modificado</t>
  </si>
  <si>
    <t>SUM of Obligaciones Noviembre_Modificado</t>
  </si>
  <si>
    <t>SUM of Obligaciones Diciembre_Modificado</t>
  </si>
  <si>
    <t>SUM of Valor estimado en la vigencia actual</t>
  </si>
  <si>
    <t>FORMATO
PLAN ANUAL DE ADQUISICIONES CONSOLIDADO 2025</t>
  </si>
  <si>
    <r>
      <t xml:space="preserve">Código: </t>
    </r>
    <r>
      <rPr>
        <sz val="12"/>
        <rFont val="Verdana"/>
        <family val="2"/>
      </rPr>
      <t xml:space="preserve">F-DE-008     </t>
    </r>
  </si>
  <si>
    <r>
      <t xml:space="preserve">Fecha: </t>
    </r>
    <r>
      <rPr>
        <sz val="12"/>
        <rFont val="Verdana"/>
        <family val="2"/>
      </rPr>
      <t>21/10/2024</t>
    </r>
  </si>
  <si>
    <r>
      <t xml:space="preserve">Versión: </t>
    </r>
    <r>
      <rPr>
        <sz val="12"/>
        <rFont val="Verdana"/>
        <family val="2"/>
      </rPr>
      <t>03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</si>
</sst>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m/yyyy"/>
    <numFmt numFmtId="165" formatCode="0.0"/>
    <numFmt numFmtId="166" formatCode="#,##0.0"/>
    <numFmt numFmtId="167" formatCode="&quot;$&quot;\ #,##0"/>
    <numFmt numFmtId="168" formatCode="#,##0.000"/>
    <numFmt numFmtId="169" formatCode="d\.m"/>
    <numFmt numFmtId="170" formatCode="[$ $]#,##0"/>
  </numFmts>
  <fonts count="28">
    <font>
      <sz val="11"/>
      <color theme="1"/>
      <name val="Aptos Narrow"/>
      <scheme val="minor"/>
    </font>
    <font>
      <b/>
      <sz val="11"/>
      <color theme="1"/>
      <name val="Arial"/>
      <family val="2"/>
    </font>
    <font>
      <b/>
      <sz val="11"/>
      <color theme="1"/>
      <name val="Aptos Narrow"/>
      <family val="2"/>
    </font>
    <font>
      <sz val="11"/>
      <color theme="1"/>
      <name val="Aptos Narrow"/>
      <family val="2"/>
      <scheme val="minor"/>
    </font>
    <font>
      <sz val="11"/>
      <color theme="1"/>
      <name val="Arial"/>
      <family val="2"/>
    </font>
    <font>
      <sz val="11"/>
      <color rgb="FF000000"/>
      <name val="Arial"/>
      <family val="2"/>
    </font>
    <font>
      <sz val="11"/>
      <color rgb="FF000000"/>
      <name val="Aptos Narrow"/>
      <family val="2"/>
      <scheme val="minor"/>
    </font>
    <font>
      <sz val="11"/>
      <color rgb="FF000000"/>
      <name val="Arial"/>
      <family val="2"/>
    </font>
    <font>
      <sz val="11"/>
      <color theme="1"/>
      <name val="Arial"/>
      <family val="2"/>
    </font>
    <font>
      <sz val="11"/>
      <color rgb="FF000000"/>
      <name val="Aptos Narrow"/>
      <family val="2"/>
    </font>
    <font>
      <sz val="11"/>
      <color rgb="FF000000"/>
      <name val="&quot;Aptos Narrow&quot;"/>
    </font>
    <font>
      <sz val="11"/>
      <color rgb="FF0000FF"/>
      <name val="Arial"/>
      <family val="2"/>
    </font>
    <font>
      <sz val="11"/>
      <color rgb="FF0000FF"/>
      <name val="Arial"/>
      <family val="2"/>
    </font>
    <font>
      <sz val="11"/>
      <color rgb="FF0000FF"/>
      <name val="Aptos Narrow"/>
      <family val="2"/>
    </font>
    <font>
      <sz val="11"/>
      <color rgb="FF000000"/>
      <name val="Calibri"/>
      <family val="2"/>
    </font>
    <font>
      <sz val="11"/>
      <color rgb="FFFF0000"/>
      <name val="Arial"/>
      <family val="2"/>
    </font>
    <font>
      <sz val="11"/>
      <color rgb="FFFF0000"/>
      <name val="Aptos Narrow"/>
      <family val="2"/>
    </font>
    <font>
      <sz val="11"/>
      <color rgb="FFFF0000"/>
      <name val="Arial"/>
      <family val="2"/>
    </font>
    <font>
      <sz val="11"/>
      <color theme="1"/>
      <name val="Aptos Narrow"/>
      <family val="2"/>
    </font>
    <font>
      <sz val="11"/>
      <color rgb="FF000000"/>
      <name val="Verdana"/>
      <family val="2"/>
    </font>
    <font>
      <sz val="11"/>
      <color rgb="FFFF0000"/>
      <name val="Aptos Narrow"/>
      <family val="2"/>
      <scheme val="minor"/>
    </font>
    <font>
      <b/>
      <sz val="11"/>
      <color rgb="FFFFFFFF"/>
      <name val="Aptos Narrow"/>
      <family val="2"/>
      <scheme val="minor"/>
    </font>
    <font>
      <b/>
      <sz val="11"/>
      <name val="Arial"/>
      <family val="2"/>
    </font>
    <font>
      <b/>
      <sz val="36"/>
      <name val="Arial"/>
      <family val="2"/>
    </font>
    <font>
      <b/>
      <sz val="12"/>
      <name val="Verdana"/>
      <family val="2"/>
    </font>
    <font>
      <sz val="12"/>
      <name val="Verdana"/>
      <family val="2"/>
    </font>
    <font>
      <u/>
      <sz val="11"/>
      <color theme="1"/>
      <name val="Aptos Narrow"/>
      <family val="2"/>
    </font>
    <font>
      <sz val="10"/>
      <color theme="1"/>
      <name val="Aptos Narrow"/>
      <family val="2"/>
    </font>
  </fonts>
  <fills count="29">
    <fill>
      <patternFill patternType="none"/>
    </fill>
    <fill>
      <patternFill patternType="gray125"/>
    </fill>
    <fill>
      <patternFill patternType="solid">
        <fgColor rgb="FFCCCCCC"/>
        <bgColor rgb="FFCCCCCC"/>
      </patternFill>
    </fill>
    <fill>
      <patternFill patternType="solid">
        <fgColor rgb="FFD0E0E3"/>
        <bgColor rgb="FFD0E0E3"/>
      </patternFill>
    </fill>
    <fill>
      <patternFill patternType="solid">
        <fgColor rgb="FF76A5AF"/>
        <bgColor rgb="FF76A5AF"/>
      </patternFill>
    </fill>
    <fill>
      <patternFill patternType="solid">
        <fgColor rgb="FFFFD966"/>
        <bgColor rgb="FFFFD966"/>
      </patternFill>
    </fill>
    <fill>
      <patternFill patternType="solid">
        <fgColor rgb="FFF6B26B"/>
        <bgColor rgb="FFF6B26B"/>
      </patternFill>
    </fill>
    <fill>
      <patternFill patternType="solid">
        <fgColor rgb="FF4A86E8"/>
        <bgColor rgb="FF4A86E8"/>
      </patternFill>
    </fill>
    <fill>
      <patternFill patternType="solid">
        <fgColor rgb="FFFFFF00"/>
        <bgColor rgb="FFFFFF00"/>
      </patternFill>
    </fill>
    <fill>
      <patternFill patternType="solid">
        <fgColor rgb="FFFFFFFF"/>
        <bgColor rgb="FFFFFFFF"/>
      </patternFill>
    </fill>
    <fill>
      <patternFill patternType="solid">
        <fgColor rgb="FFFFF2CC"/>
        <bgColor rgb="FFFFF2CC"/>
      </patternFill>
    </fill>
    <fill>
      <patternFill patternType="solid">
        <fgColor rgb="FFEFEFEF"/>
        <bgColor rgb="FFEFEFEF"/>
      </patternFill>
    </fill>
    <fill>
      <patternFill patternType="solid">
        <fgColor rgb="FFD9D9D9"/>
        <bgColor rgb="FFD9D9D9"/>
      </patternFill>
    </fill>
    <fill>
      <patternFill patternType="solid">
        <fgColor rgb="FF93C47D"/>
        <bgColor rgb="FF93C47D"/>
      </patternFill>
    </fill>
    <fill>
      <patternFill patternType="solid">
        <fgColor rgb="FFCFE2F3"/>
        <bgColor rgb="FFCFE2F3"/>
      </patternFill>
    </fill>
    <fill>
      <patternFill patternType="solid">
        <fgColor rgb="FFFF0000"/>
        <bgColor rgb="FFFF0000"/>
      </patternFill>
    </fill>
    <fill>
      <patternFill patternType="solid">
        <fgColor theme="0"/>
        <bgColor theme="0"/>
      </patternFill>
    </fill>
    <fill>
      <patternFill patternType="solid">
        <fgColor rgb="FF20124D"/>
        <bgColor rgb="FF20124D"/>
      </patternFill>
    </fill>
    <fill>
      <patternFill patternType="solid">
        <fgColor theme="0"/>
        <bgColor indexed="64"/>
      </patternFill>
    </fill>
    <fill>
      <patternFill patternType="solid">
        <fgColor theme="0"/>
        <bgColor rgb="FFFFFFFF"/>
      </patternFill>
    </fill>
    <fill>
      <patternFill patternType="solid">
        <fgColor theme="0"/>
        <bgColor rgb="FFFFFF00"/>
      </patternFill>
    </fill>
    <fill>
      <patternFill patternType="solid">
        <fgColor theme="0"/>
        <bgColor rgb="FFCFE2F3"/>
      </patternFill>
    </fill>
    <fill>
      <patternFill patternType="solid">
        <fgColor theme="0"/>
        <bgColor rgb="FFFF0000"/>
      </patternFill>
    </fill>
    <fill>
      <patternFill patternType="solid">
        <fgColor theme="0"/>
        <bgColor rgb="FF70AD47"/>
      </patternFill>
    </fill>
    <fill>
      <patternFill patternType="solid">
        <fgColor theme="0"/>
        <bgColor rgb="FF6FA8DC"/>
      </patternFill>
    </fill>
    <fill>
      <patternFill patternType="solid">
        <fgColor theme="0"/>
        <bgColor rgb="FF93C47D"/>
      </patternFill>
    </fill>
    <fill>
      <patternFill patternType="solid">
        <fgColor theme="0"/>
        <bgColor rgb="FFB6D7A8"/>
      </patternFill>
    </fill>
    <fill>
      <patternFill patternType="solid">
        <fgColor theme="0"/>
        <bgColor rgb="FF6AA84F"/>
      </patternFill>
    </fill>
    <fill>
      <patternFill patternType="solid">
        <fgColor theme="0"/>
        <bgColor rgb="FFFF9900"/>
      </patternFill>
    </fill>
  </fills>
  <borders count="3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rgb="FFABABAB"/>
      </left>
      <right style="thin">
        <color rgb="FFABABAB"/>
      </right>
      <top style="thin">
        <color rgb="FFABABAB"/>
      </top>
      <bottom/>
      <diagonal/>
    </border>
    <border>
      <left style="thin">
        <color rgb="FFABABAB"/>
      </left>
      <right/>
      <top style="thin">
        <color indexed="65"/>
      </top>
      <bottom/>
      <diagonal/>
    </border>
    <border>
      <left style="thin">
        <color rgb="FFABABAB"/>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5"/>
      </left>
      <right/>
      <top style="thin">
        <color indexed="65"/>
      </top>
      <bottom/>
      <diagonal/>
    </border>
    <border>
      <left style="thin">
        <color indexed="65"/>
      </left>
      <right style="thin">
        <color rgb="FFABABAB"/>
      </right>
      <top style="thin">
        <color indexed="65"/>
      </top>
      <bottom/>
      <diagonal/>
    </border>
    <border>
      <left style="thin">
        <color indexed="65"/>
      </left>
      <right/>
      <top style="thin">
        <color indexed="65"/>
      </top>
      <bottom style="thin">
        <color rgb="FFABABAB"/>
      </bottom>
      <diagonal/>
    </border>
    <border>
      <left style="thin">
        <color indexed="65"/>
      </left>
      <right style="thin">
        <color rgb="FFABABAB"/>
      </right>
      <top style="thin">
        <color indexed="65"/>
      </top>
      <bottom style="thin">
        <color rgb="FFABABAB"/>
      </bottom>
      <diagonal/>
    </border>
  </borders>
  <cellStyleXfs count="1">
    <xf numFmtId="0" fontId="0" fillId="0" borderId="0"/>
  </cellStyleXfs>
  <cellXfs count="248">
    <xf numFmtId="0" fontId="0" fillId="0" borderId="0" xfId="0"/>
    <xf numFmtId="164" fontId="2" fillId="2" borderId="1" xfId="0" applyNumberFormat="1" applyFont="1" applyFill="1" applyBorder="1" applyAlignment="1">
      <alignment horizontal="center" vertical="center" wrapText="1"/>
    </xf>
    <xf numFmtId="165"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166" fontId="1" fillId="5" borderId="1" xfId="0" applyNumberFormat="1"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4" fontId="1" fillId="7" borderId="1" xfId="0" applyNumberFormat="1" applyFont="1" applyFill="1" applyBorder="1" applyAlignment="1">
      <alignment horizontal="center" vertical="center" wrapText="1"/>
    </xf>
    <xf numFmtId="0" fontId="3" fillId="0" borderId="1" xfId="0" applyFont="1" applyBorder="1"/>
    <xf numFmtId="0" fontId="4" fillId="0" borderId="1" xfId="0" applyFont="1" applyBorder="1"/>
    <xf numFmtId="0" fontId="4" fillId="0" borderId="1" xfId="0" applyFont="1" applyBorder="1" applyAlignment="1">
      <alignment horizontal="center"/>
    </xf>
    <xf numFmtId="0" fontId="7" fillId="0" borderId="1" xfId="0" applyFont="1" applyBorder="1"/>
    <xf numFmtId="3" fontId="8" fillId="0" borderId="1" xfId="0" applyNumberFormat="1" applyFont="1" applyBorder="1"/>
    <xf numFmtId="3" fontId="5" fillId="0" borderId="1" xfId="0" applyNumberFormat="1" applyFont="1" applyBorder="1" applyAlignment="1">
      <alignment horizontal="right" wrapText="1"/>
    </xf>
    <xf numFmtId="3" fontId="5" fillId="9" borderId="1" xfId="0" applyNumberFormat="1" applyFont="1" applyFill="1" applyBorder="1" applyAlignment="1">
      <alignment horizontal="right" wrapText="1"/>
    </xf>
    <xf numFmtId="3" fontId="9" fillId="10" borderId="1" xfId="0" applyNumberFormat="1" applyFont="1" applyFill="1" applyBorder="1"/>
    <xf numFmtId="3" fontId="9" fillId="11" borderId="1" xfId="0" applyNumberFormat="1" applyFont="1" applyFill="1" applyBorder="1"/>
    <xf numFmtId="3" fontId="7" fillId="12" borderId="1" xfId="0" applyNumberFormat="1" applyFont="1" applyFill="1" applyBorder="1"/>
    <xf numFmtId="4" fontId="7" fillId="12" borderId="1" xfId="0" applyNumberFormat="1" applyFont="1" applyFill="1" applyBorder="1"/>
    <xf numFmtId="3" fontId="9" fillId="9" borderId="1" xfId="0" applyNumberFormat="1" applyFont="1" applyFill="1" applyBorder="1"/>
    <xf numFmtId="3" fontId="5" fillId="0" borderId="1" xfId="0" applyNumberFormat="1" applyFont="1" applyBorder="1" applyAlignment="1">
      <alignment horizontal="right"/>
    </xf>
    <xf numFmtId="3" fontId="7" fillId="9" borderId="1" xfId="0" applyNumberFormat="1" applyFont="1" applyFill="1" applyBorder="1" applyAlignment="1">
      <alignment horizontal="right"/>
    </xf>
    <xf numFmtId="3" fontId="7" fillId="8" borderId="1" xfId="0" applyNumberFormat="1" applyFont="1" applyFill="1" applyBorder="1"/>
    <xf numFmtId="3" fontId="9" fillId="0" borderId="1" xfId="0" applyNumberFormat="1" applyFont="1" applyBorder="1"/>
    <xf numFmtId="167" fontId="9" fillId="0" borderId="1" xfId="0" applyNumberFormat="1" applyFont="1" applyBorder="1"/>
    <xf numFmtId="3" fontId="7" fillId="9" borderId="1" xfId="0" applyNumberFormat="1" applyFont="1" applyFill="1" applyBorder="1"/>
    <xf numFmtId="3" fontId="7" fillId="0" borderId="1" xfId="0" applyNumberFormat="1" applyFont="1" applyBorder="1"/>
    <xf numFmtId="4" fontId="7" fillId="0" borderId="1" xfId="0" applyNumberFormat="1" applyFont="1" applyBorder="1"/>
    <xf numFmtId="4" fontId="9" fillId="0" borderId="1" xfId="0" applyNumberFormat="1" applyFont="1" applyBorder="1"/>
    <xf numFmtId="3" fontId="7" fillId="0" borderId="1" xfId="0" applyNumberFormat="1" applyFont="1" applyBorder="1" applyAlignment="1">
      <alignment horizontal="right"/>
    </xf>
    <xf numFmtId="166" fontId="7" fillId="0" borderId="1" xfId="0" applyNumberFormat="1" applyFont="1" applyBorder="1"/>
    <xf numFmtId="3" fontId="7" fillId="10" borderId="1" xfId="0" applyNumberFormat="1" applyFont="1" applyFill="1" applyBorder="1"/>
    <xf numFmtId="3" fontId="5" fillId="14" borderId="1" xfId="0" applyNumberFormat="1" applyFont="1" applyFill="1" applyBorder="1"/>
    <xf numFmtId="3" fontId="8" fillId="9" borderId="1" xfId="0" applyNumberFormat="1" applyFont="1" applyFill="1" applyBorder="1"/>
    <xf numFmtId="3" fontId="11" fillId="9" borderId="1" xfId="0" applyNumberFormat="1" applyFont="1" applyFill="1" applyBorder="1" applyAlignment="1">
      <alignment horizontal="right"/>
    </xf>
    <xf numFmtId="3" fontId="11" fillId="0" borderId="1" xfId="0" applyNumberFormat="1" applyFont="1" applyBorder="1"/>
    <xf numFmtId="3" fontId="13" fillId="9" borderId="1" xfId="0" applyNumberFormat="1" applyFont="1" applyFill="1" applyBorder="1"/>
    <xf numFmtId="166" fontId="7" fillId="9" borderId="1" xfId="0" applyNumberFormat="1" applyFont="1" applyFill="1" applyBorder="1"/>
    <xf numFmtId="3" fontId="12" fillId="0" borderId="1" xfId="0" applyNumberFormat="1" applyFont="1" applyBorder="1" applyAlignment="1">
      <alignment horizontal="right" wrapText="1"/>
    </xf>
    <xf numFmtId="3" fontId="14" fillId="0" borderId="1" xfId="0" applyNumberFormat="1" applyFont="1" applyBorder="1"/>
    <xf numFmtId="3" fontId="9" fillId="14" borderId="1" xfId="0" applyNumberFormat="1" applyFont="1" applyFill="1" applyBorder="1"/>
    <xf numFmtId="168" fontId="8" fillId="0" borderId="1" xfId="0" applyNumberFormat="1" applyFont="1" applyBorder="1"/>
    <xf numFmtId="3" fontId="15" fillId="0" borderId="1" xfId="0" applyNumberFormat="1" applyFont="1" applyBorder="1"/>
    <xf numFmtId="3" fontId="16" fillId="0" borderId="1" xfId="0" applyNumberFormat="1" applyFont="1" applyBorder="1"/>
    <xf numFmtId="3" fontId="6" fillId="0" borderId="1" xfId="0" applyNumberFormat="1" applyFont="1" applyBorder="1"/>
    <xf numFmtId="3" fontId="17" fillId="0" borderId="1" xfId="0" applyNumberFormat="1" applyFont="1" applyBorder="1"/>
    <xf numFmtId="3" fontId="5" fillId="0" borderId="1" xfId="0" applyNumberFormat="1" applyFont="1" applyBorder="1"/>
    <xf numFmtId="166" fontId="4" fillId="0" borderId="1" xfId="0" applyNumberFormat="1" applyFont="1" applyBorder="1"/>
    <xf numFmtId="166" fontId="3" fillId="0" borderId="1" xfId="0" applyNumberFormat="1" applyFont="1" applyBorder="1"/>
    <xf numFmtId="3" fontId="3" fillId="0" borderId="1" xfId="0" applyNumberFormat="1" applyFont="1" applyBorder="1"/>
    <xf numFmtId="4" fontId="3" fillId="0" borderId="1" xfId="0" applyNumberFormat="1" applyFont="1" applyBorder="1"/>
    <xf numFmtId="4" fontId="4" fillId="0" borderId="1" xfId="0" applyNumberFormat="1" applyFont="1" applyBorder="1"/>
    <xf numFmtId="0" fontId="18" fillId="0" borderId="1" xfId="0" applyFont="1" applyBorder="1"/>
    <xf numFmtId="3" fontId="18" fillId="0" borderId="1" xfId="0" applyNumberFormat="1" applyFont="1" applyBorder="1"/>
    <xf numFmtId="3" fontId="4" fillId="0" borderId="1" xfId="0" applyNumberFormat="1" applyFont="1" applyBorder="1"/>
    <xf numFmtId="166" fontId="8" fillId="0" borderId="1" xfId="0" applyNumberFormat="1" applyFont="1" applyBorder="1"/>
    <xf numFmtId="166" fontId="9" fillId="0" borderId="1" xfId="0" applyNumberFormat="1" applyFont="1" applyBorder="1"/>
    <xf numFmtId="166" fontId="9" fillId="10" borderId="1" xfId="0" applyNumberFormat="1" applyFont="1" applyFill="1" applyBorder="1"/>
    <xf numFmtId="166" fontId="7" fillId="10" borderId="1" xfId="0" applyNumberFormat="1" applyFont="1" applyFill="1" applyBorder="1"/>
    <xf numFmtId="166" fontId="5" fillId="0" borderId="1" xfId="0" applyNumberFormat="1" applyFont="1" applyBorder="1" applyAlignment="1">
      <alignment horizontal="right" wrapText="1"/>
    </xf>
    <xf numFmtId="4" fontId="8" fillId="0" borderId="1" xfId="0" applyNumberFormat="1" applyFont="1" applyBorder="1"/>
    <xf numFmtId="166" fontId="8" fillId="8" borderId="1" xfId="0" applyNumberFormat="1" applyFont="1" applyFill="1" applyBorder="1"/>
    <xf numFmtId="166" fontId="9" fillId="9" borderId="1" xfId="0" applyNumberFormat="1" applyFont="1" applyFill="1" applyBorder="1"/>
    <xf numFmtId="4" fontId="7" fillId="10" borderId="1" xfId="0" applyNumberFormat="1" applyFont="1" applyFill="1" applyBorder="1"/>
    <xf numFmtId="166" fontId="6" fillId="0" borderId="1" xfId="0" applyNumberFormat="1" applyFont="1" applyBorder="1"/>
    <xf numFmtId="166" fontId="3" fillId="0" borderId="0" xfId="0" applyNumberFormat="1" applyFont="1"/>
    <xf numFmtId="166" fontId="14" fillId="0" borderId="1" xfId="0" applyNumberFormat="1" applyFont="1" applyBorder="1"/>
    <xf numFmtId="166" fontId="8" fillId="9" borderId="1" xfId="0" applyNumberFormat="1" applyFont="1" applyFill="1" applyBorder="1"/>
    <xf numFmtId="3" fontId="7" fillId="14" borderId="1" xfId="0" applyNumberFormat="1" applyFont="1" applyFill="1" applyBorder="1"/>
    <xf numFmtId="166" fontId="9" fillId="14" borderId="1" xfId="0" applyNumberFormat="1" applyFont="1" applyFill="1" applyBorder="1"/>
    <xf numFmtId="166" fontId="9" fillId="8" borderId="1" xfId="0" applyNumberFormat="1" applyFont="1" applyFill="1" applyBorder="1"/>
    <xf numFmtId="166" fontId="14" fillId="15" borderId="1" xfId="0" applyNumberFormat="1" applyFont="1" applyFill="1" applyBorder="1"/>
    <xf numFmtId="3" fontId="7" fillId="11" borderId="1" xfId="0" applyNumberFormat="1" applyFont="1" applyFill="1" applyBorder="1"/>
    <xf numFmtId="4" fontId="5" fillId="0" borderId="1" xfId="0" applyNumberFormat="1" applyFont="1" applyBorder="1" applyAlignment="1">
      <alignment horizontal="right" wrapText="1"/>
    </xf>
    <xf numFmtId="4" fontId="8" fillId="9" borderId="1" xfId="0" applyNumberFormat="1" applyFont="1" applyFill="1" applyBorder="1"/>
    <xf numFmtId="3" fontId="5" fillId="9" borderId="1" xfId="0" applyNumberFormat="1" applyFont="1" applyFill="1" applyBorder="1"/>
    <xf numFmtId="3" fontId="10" fillId="0" borderId="1" xfId="0" applyNumberFormat="1" applyFont="1" applyBorder="1"/>
    <xf numFmtId="3" fontId="10" fillId="0" borderId="1" xfId="0" applyNumberFormat="1" applyFont="1" applyBorder="1" applyAlignment="1">
      <alignment horizontal="right"/>
    </xf>
    <xf numFmtId="3" fontId="10" fillId="9" borderId="1" xfId="0" applyNumberFormat="1" applyFont="1" applyFill="1" applyBorder="1"/>
    <xf numFmtId="4" fontId="10" fillId="0" borderId="1" xfId="0" applyNumberFormat="1" applyFont="1" applyBorder="1"/>
    <xf numFmtId="3" fontId="10" fillId="9" borderId="1" xfId="0" applyNumberFormat="1" applyFont="1" applyFill="1" applyBorder="1" applyAlignment="1">
      <alignment horizontal="right"/>
    </xf>
    <xf numFmtId="3" fontId="14" fillId="9" borderId="1" xfId="0" applyNumberFormat="1" applyFont="1" applyFill="1" applyBorder="1"/>
    <xf numFmtId="4" fontId="10" fillId="0" borderId="1" xfId="0" applyNumberFormat="1" applyFont="1" applyBorder="1" applyAlignment="1">
      <alignment horizontal="right"/>
    </xf>
    <xf numFmtId="3" fontId="14" fillId="9" borderId="1" xfId="0" applyNumberFormat="1" applyFont="1" applyFill="1" applyBorder="1" applyAlignment="1">
      <alignment horizontal="right"/>
    </xf>
    <xf numFmtId="3" fontId="10" fillId="14" borderId="1" xfId="0" applyNumberFormat="1" applyFont="1" applyFill="1" applyBorder="1"/>
    <xf numFmtId="3" fontId="7" fillId="14" borderId="1" xfId="0" applyNumberFormat="1" applyFont="1" applyFill="1" applyBorder="1" applyAlignment="1">
      <alignment horizontal="right"/>
    </xf>
    <xf numFmtId="4" fontId="7" fillId="0" borderId="1" xfId="0" applyNumberFormat="1" applyFont="1" applyBorder="1" applyAlignment="1">
      <alignment horizontal="right"/>
    </xf>
    <xf numFmtId="3" fontId="19" fillId="9" borderId="1" xfId="0" applyNumberFormat="1" applyFont="1" applyFill="1" applyBorder="1" applyAlignment="1">
      <alignment horizontal="right"/>
    </xf>
    <xf numFmtId="3" fontId="15" fillId="0" borderId="1" xfId="0" applyNumberFormat="1" applyFont="1" applyBorder="1" applyAlignment="1">
      <alignment horizontal="right"/>
    </xf>
    <xf numFmtId="4" fontId="14" fillId="0" borderId="1" xfId="0" applyNumberFormat="1" applyFont="1" applyBorder="1" applyAlignment="1">
      <alignment horizontal="right"/>
    </xf>
    <xf numFmtId="3" fontId="14" fillId="0" borderId="1" xfId="0" applyNumberFormat="1" applyFont="1" applyBorder="1" applyAlignment="1">
      <alignment horizontal="right"/>
    </xf>
    <xf numFmtId="167" fontId="8" fillId="0" borderId="1" xfId="0" applyNumberFormat="1" applyFont="1" applyBorder="1"/>
    <xf numFmtId="0" fontId="18" fillId="0" borderId="2" xfId="0" applyFont="1" applyBorder="1"/>
    <xf numFmtId="0" fontId="18" fillId="0" borderId="2" xfId="0" applyFont="1" applyBorder="1" applyAlignment="1">
      <alignment horizontal="center"/>
    </xf>
    <xf numFmtId="0" fontId="5" fillId="0" borderId="2" xfId="0" applyFont="1" applyBorder="1" applyAlignment="1">
      <alignment horizontal="center"/>
    </xf>
    <xf numFmtId="0" fontId="7" fillId="0" borderId="2" xfId="0" applyFont="1" applyBorder="1"/>
    <xf numFmtId="0" fontId="9" fillId="0" borderId="2" xfId="0" applyFont="1" applyBorder="1"/>
    <xf numFmtId="0" fontId="7" fillId="0" borderId="2" xfId="0" applyFont="1" applyBorder="1" applyAlignment="1">
      <alignment horizontal="right"/>
    </xf>
    <xf numFmtId="167" fontId="9" fillId="0" borderId="2" xfId="0" applyNumberFormat="1" applyFont="1" applyBorder="1"/>
    <xf numFmtId="0" fontId="5" fillId="0" borderId="2" xfId="0" applyFont="1" applyBorder="1"/>
    <xf numFmtId="0" fontId="6" fillId="0" borderId="2" xfId="0" applyFont="1" applyBorder="1"/>
    <xf numFmtId="4" fontId="18" fillId="0" borderId="1" xfId="0" applyNumberFormat="1" applyFont="1" applyBorder="1"/>
    <xf numFmtId="0" fontId="18" fillId="0" borderId="0" xfId="0" applyFont="1"/>
    <xf numFmtId="4" fontId="18" fillId="0" borderId="0" xfId="0" applyNumberFormat="1" applyFont="1"/>
    <xf numFmtId="3" fontId="9" fillId="10" borderId="0" xfId="0" applyNumberFormat="1" applyFont="1" applyFill="1"/>
    <xf numFmtId="0" fontId="8" fillId="9" borderId="2" xfId="0" applyFont="1" applyFill="1" applyBorder="1"/>
    <xf numFmtId="0" fontId="4" fillId="0" borderId="2" xfId="0" applyFont="1" applyBorder="1"/>
    <xf numFmtId="0" fontId="4" fillId="0" borderId="0" xfId="0" applyFont="1" applyAlignment="1">
      <alignment horizontal="center"/>
    </xf>
    <xf numFmtId="0" fontId="4" fillId="0" borderId="0" xfId="0" applyFont="1"/>
    <xf numFmtId="167" fontId="8" fillId="0" borderId="0" xfId="0" applyNumberFormat="1" applyFont="1"/>
    <xf numFmtId="4" fontId="7" fillId="0" borderId="0" xfId="0" applyNumberFormat="1" applyFont="1"/>
    <xf numFmtId="3" fontId="9" fillId="11" borderId="0" xfId="0" applyNumberFormat="1" applyFont="1" applyFill="1"/>
    <xf numFmtId="3" fontId="7" fillId="12" borderId="0" xfId="0" applyNumberFormat="1" applyFont="1" applyFill="1"/>
    <xf numFmtId="4" fontId="7" fillId="12" borderId="0" xfId="0" applyNumberFormat="1" applyFont="1" applyFill="1"/>
    <xf numFmtId="0" fontId="3" fillId="0" borderId="0" xfId="0" applyFont="1"/>
    <xf numFmtId="3" fontId="3" fillId="0" borderId="0" xfId="0" applyNumberFormat="1" applyFont="1"/>
    <xf numFmtId="0" fontId="18" fillId="0" borderId="0" xfId="0" applyFont="1" applyAlignment="1">
      <alignment horizontal="center"/>
    </xf>
    <xf numFmtId="3" fontId="18" fillId="0" borderId="0" xfId="0" applyNumberFormat="1" applyFont="1"/>
    <xf numFmtId="10" fontId="3" fillId="0" borderId="1" xfId="0" applyNumberFormat="1" applyFont="1" applyBorder="1"/>
    <xf numFmtId="0" fontId="21" fillId="17" borderId="1" xfId="0" applyFont="1" applyFill="1" applyBorder="1"/>
    <xf numFmtId="10" fontId="21" fillId="17" borderId="1" xfId="0" applyNumberFormat="1" applyFont="1" applyFill="1" applyBorder="1"/>
    <xf numFmtId="0" fontId="18" fillId="0" borderId="0" xfId="0" applyFont="1" applyAlignment="1">
      <alignment horizontal="left"/>
    </xf>
    <xf numFmtId="0" fontId="3" fillId="0" borderId="0" xfId="0" applyFont="1" applyAlignment="1">
      <alignment horizontal="center" vertical="center" wrapText="1"/>
    </xf>
    <xf numFmtId="170" fontId="3" fillId="0" borderId="0" xfId="0" applyNumberFormat="1" applyFont="1" applyAlignment="1">
      <alignment horizontal="center" vertical="center" wrapText="1"/>
    </xf>
    <xf numFmtId="170" fontId="3" fillId="0" borderId="0" xfId="0" applyNumberFormat="1" applyFont="1"/>
    <xf numFmtId="170" fontId="5" fillId="2" borderId="1" xfId="0" applyNumberFormat="1" applyFont="1" applyFill="1" applyBorder="1"/>
    <xf numFmtId="170" fontId="3" fillId="13" borderId="1" xfId="0" applyNumberFormat="1" applyFont="1" applyFill="1" applyBorder="1"/>
    <xf numFmtId="3" fontId="20" fillId="0" borderId="1" xfId="0" applyNumberFormat="1" applyFont="1" applyBorder="1"/>
    <xf numFmtId="3" fontId="3" fillId="8" borderId="1" xfId="0" applyNumberFormat="1" applyFont="1" applyFill="1" applyBorder="1"/>
    <xf numFmtId="170" fontId="3" fillId="15" borderId="0" xfId="0" applyNumberFormat="1" applyFont="1" applyFill="1"/>
    <xf numFmtId="170" fontId="4" fillId="0" borderId="0" xfId="0" applyNumberFormat="1" applyFont="1"/>
    <xf numFmtId="0" fontId="0" fillId="0" borderId="3" xfId="0" applyBorder="1"/>
    <xf numFmtId="0" fontId="0" fillId="0" borderId="3" xfId="0" pivotButton="1"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10" xfId="0" applyBorder="1"/>
    <xf numFmtId="0" fontId="0" fillId="0" borderId="13" xfId="0" pivotButton="1" applyBorder="1"/>
    <xf numFmtId="0" fontId="0" fillId="0" borderId="13" xfId="0" applyBorder="1"/>
    <xf numFmtId="0" fontId="0" fillId="0" borderId="14" xfId="0" applyBorder="1"/>
    <xf numFmtId="0" fontId="0" fillId="0" borderId="15" xfId="0" applyBorder="1"/>
    <xf numFmtId="0" fontId="0" fillId="0" borderId="17" xfId="0" applyBorder="1"/>
    <xf numFmtId="0" fontId="0" fillId="0" borderId="18" xfId="0" applyBorder="1"/>
    <xf numFmtId="0" fontId="18" fillId="18" borderId="1" xfId="0" applyFont="1" applyFill="1" applyBorder="1"/>
    <xf numFmtId="3" fontId="18" fillId="18" borderId="1" xfId="0" applyNumberFormat="1" applyFont="1" applyFill="1" applyBorder="1"/>
    <xf numFmtId="0" fontId="18" fillId="19" borderId="1" xfId="0" applyFont="1" applyFill="1" applyBorder="1"/>
    <xf numFmtId="0" fontId="18" fillId="21" borderId="1" xfId="0" applyFont="1" applyFill="1" applyBorder="1"/>
    <xf numFmtId="0" fontId="18" fillId="18" borderId="1" xfId="0" applyFont="1" applyFill="1" applyBorder="1" applyAlignment="1">
      <alignment horizontal="center"/>
    </xf>
    <xf numFmtId="0" fontId="18" fillId="21" borderId="1" xfId="0" applyFont="1" applyFill="1" applyBorder="1" applyAlignment="1">
      <alignment horizontal="center"/>
    </xf>
    <xf numFmtId="0" fontId="18" fillId="18" borderId="2" xfId="0" applyFont="1" applyFill="1" applyBorder="1"/>
    <xf numFmtId="0" fontId="18" fillId="18" borderId="2" xfId="0" applyFont="1" applyFill="1" applyBorder="1" applyAlignment="1">
      <alignment horizontal="center"/>
    </xf>
    <xf numFmtId="0" fontId="23" fillId="0" borderId="0" xfId="0" applyFont="1" applyAlignment="1">
      <alignment horizontal="center" vertical="top" wrapText="1"/>
    </xf>
    <xf numFmtId="3" fontId="24" fillId="0" borderId="27" xfId="0" applyNumberFormat="1" applyFont="1" applyBorder="1" applyAlignment="1">
      <alignment horizontal="center" vertical="center" wrapText="1"/>
    </xf>
    <xf numFmtId="3" fontId="24" fillId="0" borderId="31" xfId="0" applyNumberFormat="1" applyFont="1" applyBorder="1" applyAlignment="1">
      <alignment horizontal="left" vertical="center" wrapText="1"/>
    </xf>
    <xf numFmtId="0" fontId="22" fillId="0" borderId="0" xfId="0" applyFont="1" applyAlignment="1">
      <alignment horizontal="center"/>
    </xf>
    <xf numFmtId="3" fontId="24" fillId="0" borderId="0" xfId="0" applyNumberFormat="1" applyFont="1" applyAlignment="1">
      <alignment horizontal="left" vertical="center" wrapText="1"/>
    </xf>
    <xf numFmtId="0" fontId="18" fillId="18" borderId="1" xfId="0" applyFont="1" applyFill="1" applyBorder="1" applyAlignment="1">
      <alignment wrapText="1"/>
    </xf>
    <xf numFmtId="0" fontId="2" fillId="2" borderId="1" xfId="0" applyFont="1" applyFill="1" applyBorder="1" applyAlignment="1">
      <alignment horizontal="center" vertical="center"/>
    </xf>
    <xf numFmtId="4" fontId="2" fillId="2" borderId="1" xfId="0" applyNumberFormat="1" applyFont="1" applyFill="1" applyBorder="1" applyAlignment="1">
      <alignment horizontal="center" vertical="center" wrapText="1"/>
    </xf>
    <xf numFmtId="0" fontId="18" fillId="19" borderId="1" xfId="0" applyFont="1" applyFill="1" applyBorder="1" applyAlignment="1">
      <alignment horizontal="left"/>
    </xf>
    <xf numFmtId="0" fontId="18" fillId="18" borderId="1" xfId="0" applyFont="1" applyFill="1" applyBorder="1" applyAlignment="1">
      <alignment horizontal="right"/>
    </xf>
    <xf numFmtId="0" fontId="18" fillId="20" borderId="1" xfId="0" applyFont="1" applyFill="1" applyBorder="1"/>
    <xf numFmtId="0" fontId="18" fillId="19" borderId="1" xfId="0" applyFont="1" applyFill="1" applyBorder="1" applyAlignment="1">
      <alignment horizontal="center"/>
    </xf>
    <xf numFmtId="3" fontId="18" fillId="18" borderId="1" xfId="0" applyNumberFormat="1" applyFont="1" applyFill="1" applyBorder="1" applyAlignment="1">
      <alignment horizontal="right"/>
    </xf>
    <xf numFmtId="167" fontId="18" fillId="18" borderId="1" xfId="0" applyNumberFormat="1" applyFont="1" applyFill="1" applyBorder="1"/>
    <xf numFmtId="167" fontId="18" fillId="18" borderId="2" xfId="0" applyNumberFormat="1" applyFont="1" applyFill="1" applyBorder="1"/>
    <xf numFmtId="0" fontId="18" fillId="19" borderId="2" xfId="0" applyFont="1" applyFill="1" applyBorder="1"/>
    <xf numFmtId="166" fontId="18" fillId="19" borderId="1" xfId="0" applyNumberFormat="1" applyFont="1" applyFill="1" applyBorder="1" applyAlignment="1">
      <alignment horizontal="right"/>
    </xf>
    <xf numFmtId="0" fontId="18" fillId="19" borderId="1" xfId="0" applyFont="1" applyFill="1" applyBorder="1" applyAlignment="1">
      <alignment wrapText="1"/>
    </xf>
    <xf numFmtId="0" fontId="18" fillId="19" borderId="1" xfId="0" applyFont="1" applyFill="1" applyBorder="1" applyAlignment="1">
      <alignment horizontal="right"/>
    </xf>
    <xf numFmtId="3" fontId="18" fillId="19" borderId="1" xfId="0" applyNumberFormat="1" applyFont="1" applyFill="1" applyBorder="1" applyAlignment="1">
      <alignment horizontal="right"/>
    </xf>
    <xf numFmtId="3" fontId="18" fillId="19" borderId="1" xfId="0" applyNumberFormat="1" applyFont="1" applyFill="1" applyBorder="1"/>
    <xf numFmtId="1" fontId="18" fillId="19" borderId="1" xfId="0" applyNumberFormat="1" applyFont="1" applyFill="1" applyBorder="1"/>
    <xf numFmtId="166" fontId="18" fillId="18" borderId="1" xfId="0" applyNumberFormat="1" applyFont="1" applyFill="1" applyBorder="1"/>
    <xf numFmtId="0" fontId="26" fillId="18" borderId="1" xfId="0" applyFont="1" applyFill="1" applyBorder="1" applyAlignment="1">
      <alignment wrapText="1"/>
    </xf>
    <xf numFmtId="164" fontId="18" fillId="18" borderId="1" xfId="0" applyNumberFormat="1" applyFont="1" applyFill="1" applyBorder="1"/>
    <xf numFmtId="166" fontId="18" fillId="18" borderId="1" xfId="0" applyNumberFormat="1" applyFont="1" applyFill="1" applyBorder="1" applyAlignment="1">
      <alignment horizontal="right"/>
    </xf>
    <xf numFmtId="0" fontId="18" fillId="21" borderId="1" xfId="0" applyFont="1" applyFill="1" applyBorder="1" applyAlignment="1">
      <alignment horizontal="right"/>
    </xf>
    <xf numFmtId="164" fontId="18" fillId="21" borderId="1" xfId="0" applyNumberFormat="1" applyFont="1" applyFill="1" applyBorder="1"/>
    <xf numFmtId="3" fontId="18" fillId="21" borderId="1" xfId="0" applyNumberFormat="1" applyFont="1" applyFill="1" applyBorder="1"/>
    <xf numFmtId="0" fontId="18" fillId="21" borderId="1" xfId="0" applyFont="1" applyFill="1" applyBorder="1" applyAlignment="1">
      <alignment wrapText="1"/>
    </xf>
    <xf numFmtId="166" fontId="18" fillId="19" borderId="1" xfId="0" applyNumberFormat="1" applyFont="1" applyFill="1" applyBorder="1"/>
    <xf numFmtId="0" fontId="18" fillId="22" borderId="1" xfId="0" applyFont="1" applyFill="1" applyBorder="1"/>
    <xf numFmtId="164" fontId="18" fillId="19" borderId="1" xfId="0" applyNumberFormat="1" applyFont="1" applyFill="1" applyBorder="1"/>
    <xf numFmtId="0" fontId="18" fillId="23" borderId="1" xfId="0" applyFont="1" applyFill="1" applyBorder="1"/>
    <xf numFmtId="4" fontId="18" fillId="18" borderId="1" xfId="0" applyNumberFormat="1" applyFont="1" applyFill="1" applyBorder="1"/>
    <xf numFmtId="0" fontId="18" fillId="24" borderId="1" xfId="0" applyFont="1" applyFill="1" applyBorder="1"/>
    <xf numFmtId="4" fontId="18" fillId="19" borderId="1" xfId="0" applyNumberFormat="1" applyFont="1" applyFill="1" applyBorder="1"/>
    <xf numFmtId="3" fontId="18" fillId="25" borderId="1" xfId="0" applyNumberFormat="1" applyFont="1" applyFill="1" applyBorder="1"/>
    <xf numFmtId="3" fontId="18" fillId="26" borderId="1" xfId="0" applyNumberFormat="1" applyFont="1" applyFill="1" applyBorder="1"/>
    <xf numFmtId="3" fontId="18" fillId="27" borderId="1" xfId="0" applyNumberFormat="1" applyFont="1" applyFill="1" applyBorder="1"/>
    <xf numFmtId="3" fontId="18" fillId="20" borderId="1" xfId="0" applyNumberFormat="1" applyFont="1" applyFill="1" applyBorder="1"/>
    <xf numFmtId="3" fontId="18" fillId="18" borderId="1" xfId="0" applyNumberFormat="1" applyFont="1" applyFill="1" applyBorder="1" applyAlignment="1">
      <alignment wrapText="1"/>
    </xf>
    <xf numFmtId="168" fontId="18" fillId="18" borderId="1" xfId="0" applyNumberFormat="1" applyFont="1" applyFill="1" applyBorder="1"/>
    <xf numFmtId="168" fontId="18" fillId="21" borderId="1" xfId="0" applyNumberFormat="1" applyFont="1" applyFill="1" applyBorder="1"/>
    <xf numFmtId="49" fontId="27" fillId="18" borderId="1" xfId="0" applyNumberFormat="1" applyFont="1" applyFill="1" applyBorder="1" applyAlignment="1">
      <alignment horizontal="right" vertical="center" wrapText="1"/>
    </xf>
    <xf numFmtId="0" fontId="18" fillId="16" borderId="1" xfId="0" applyFont="1" applyFill="1" applyBorder="1"/>
    <xf numFmtId="0" fontId="18" fillId="18" borderId="1" xfId="0" quotePrefix="1" applyFont="1" applyFill="1" applyBorder="1" applyAlignment="1">
      <alignment horizontal="center"/>
    </xf>
    <xf numFmtId="166" fontId="18" fillId="21" borderId="1" xfId="0" applyNumberFormat="1" applyFont="1" applyFill="1" applyBorder="1"/>
    <xf numFmtId="169" fontId="18" fillId="18" borderId="1" xfId="0" applyNumberFormat="1" applyFont="1" applyFill="1" applyBorder="1"/>
    <xf numFmtId="0" fontId="18" fillId="28" borderId="1" xfId="0" applyFont="1" applyFill="1" applyBorder="1"/>
    <xf numFmtId="167" fontId="18" fillId="18" borderId="1" xfId="0" applyNumberFormat="1" applyFont="1" applyFill="1" applyBorder="1" applyAlignment="1">
      <alignment wrapText="1"/>
    </xf>
    <xf numFmtId="167" fontId="18" fillId="21" borderId="1" xfId="0" applyNumberFormat="1" applyFont="1" applyFill="1" applyBorder="1"/>
    <xf numFmtId="167" fontId="18" fillId="18" borderId="1" xfId="0" applyNumberFormat="1" applyFont="1" applyFill="1" applyBorder="1" applyAlignment="1">
      <alignment horizontal="right"/>
    </xf>
    <xf numFmtId="0" fontId="18" fillId="18" borderId="2" xfId="0" applyFont="1" applyFill="1" applyBorder="1" applyAlignment="1">
      <alignment horizontal="right"/>
    </xf>
    <xf numFmtId="0" fontId="18" fillId="18" borderId="2" xfId="0" applyFont="1" applyFill="1" applyBorder="1" applyAlignment="1">
      <alignment wrapText="1"/>
    </xf>
    <xf numFmtId="0" fontId="18" fillId="18" borderId="2" xfId="0" applyFont="1" applyFill="1" applyBorder="1" applyAlignment="1">
      <alignment horizontal="left"/>
    </xf>
    <xf numFmtId="3" fontId="18" fillId="18" borderId="2" xfId="0" applyNumberFormat="1" applyFont="1" applyFill="1" applyBorder="1"/>
    <xf numFmtId="0" fontId="22" fillId="0" borderId="21" xfId="0" applyFont="1" applyBorder="1" applyAlignment="1">
      <alignment horizontal="center"/>
    </xf>
    <xf numFmtId="0" fontId="22" fillId="0" borderId="22" xfId="0" applyFont="1" applyBorder="1" applyAlignment="1">
      <alignment horizontal="center"/>
    </xf>
    <xf numFmtId="0" fontId="22" fillId="0" borderId="25" xfId="0" applyFont="1" applyBorder="1" applyAlignment="1">
      <alignment horizontal="center"/>
    </xf>
    <xf numFmtId="0" fontId="22" fillId="0" borderId="26" xfId="0" applyFont="1" applyBorder="1" applyAlignment="1">
      <alignment horizontal="center"/>
    </xf>
    <xf numFmtId="0" fontId="22" fillId="0" borderId="28" xfId="0" applyFont="1" applyBorder="1" applyAlignment="1">
      <alignment horizontal="center"/>
    </xf>
    <xf numFmtId="0" fontId="22" fillId="0" borderId="29" xfId="0" applyFont="1" applyBorder="1" applyAlignment="1">
      <alignment horizontal="center"/>
    </xf>
    <xf numFmtId="0" fontId="23" fillId="0" borderId="21" xfId="0" applyFont="1" applyBorder="1" applyAlignment="1">
      <alignment horizontal="center" vertical="top" wrapText="1"/>
    </xf>
    <xf numFmtId="0" fontId="23" fillId="0" borderId="23" xfId="0" applyFont="1" applyBorder="1" applyAlignment="1">
      <alignment horizontal="center" vertical="top" wrapText="1"/>
    </xf>
    <xf numFmtId="0" fontId="23" fillId="0" borderId="22" xfId="0" applyFont="1" applyBorder="1" applyAlignment="1">
      <alignment horizontal="center" vertical="top" wrapText="1"/>
    </xf>
    <xf numFmtId="0" fontId="23" fillId="0" borderId="25" xfId="0" applyFont="1" applyBorder="1" applyAlignment="1">
      <alignment horizontal="center" vertical="top" wrapText="1"/>
    </xf>
    <xf numFmtId="0" fontId="23" fillId="0" borderId="0" xfId="0" applyFont="1" applyAlignment="1">
      <alignment horizontal="center" vertical="top" wrapText="1"/>
    </xf>
    <xf numFmtId="0" fontId="23" fillId="0" borderId="26" xfId="0" applyFont="1" applyBorder="1" applyAlignment="1">
      <alignment horizontal="center" vertical="top" wrapText="1"/>
    </xf>
    <xf numFmtId="0" fontId="23" fillId="0" borderId="28" xfId="0" applyFont="1" applyBorder="1" applyAlignment="1">
      <alignment horizontal="center" vertical="top" wrapText="1"/>
    </xf>
    <xf numFmtId="0" fontId="23" fillId="0" borderId="30" xfId="0" applyFont="1" applyBorder="1" applyAlignment="1">
      <alignment horizontal="center" vertical="top" wrapText="1"/>
    </xf>
    <xf numFmtId="0" fontId="23" fillId="0" borderId="29" xfId="0" applyFont="1" applyBorder="1" applyAlignment="1">
      <alignment horizontal="center" vertical="top" wrapText="1"/>
    </xf>
    <xf numFmtId="3" fontId="24" fillId="0" borderId="24" xfId="0" applyNumberFormat="1" applyFont="1" applyBorder="1" applyAlignment="1">
      <alignment horizontal="center" vertical="center" wrapText="1"/>
    </xf>
    <xf numFmtId="3" fontId="24" fillId="0" borderId="27" xfId="0" applyNumberFormat="1" applyFont="1" applyBorder="1" applyAlignment="1">
      <alignment horizontal="center" vertical="center" wrapText="1"/>
    </xf>
    <xf numFmtId="0" fontId="0" fillId="0" borderId="32" xfId="0" applyBorder="1"/>
    <xf numFmtId="0" fontId="0" fillId="0" borderId="33" xfId="0" applyBorder="1"/>
    <xf numFmtId="0" fontId="0" fillId="0" borderId="34" xfId="0" applyBorder="1"/>
    <xf numFmtId="0" fontId="0" fillId="0" borderId="35" xfId="0" applyBorder="1"/>
    <xf numFmtId="0" fontId="0" fillId="0" borderId="3" xfId="0" applyNumberFormat="1" applyBorder="1"/>
    <xf numFmtId="0" fontId="0" fillId="0" borderId="6" xfId="0" applyNumberFormat="1" applyBorder="1"/>
    <xf numFmtId="0" fontId="0" fillId="0" borderId="7" xfId="0" applyNumberFormat="1" applyBorder="1"/>
    <xf numFmtId="0" fontId="0" fillId="0" borderId="8" xfId="0" applyNumberFormat="1" applyBorder="1"/>
    <xf numFmtId="0" fontId="0" fillId="0" borderId="0" xfId="0" applyNumberFormat="1"/>
    <xf numFmtId="0" fontId="0" fillId="0" borderId="9" xfId="0" applyNumberFormat="1" applyBorder="1"/>
    <xf numFmtId="0" fontId="0" fillId="0" borderId="18" xfId="0" applyNumberFormat="1" applyBorder="1"/>
    <xf numFmtId="0" fontId="0" fillId="0" borderId="19" xfId="0" applyNumberFormat="1" applyBorder="1"/>
    <xf numFmtId="0" fontId="0" fillId="0" borderId="20" xfId="0" applyNumberFormat="1" applyBorder="1"/>
    <xf numFmtId="0" fontId="0" fillId="0" borderId="14" xfId="0" applyNumberFormat="1" applyBorder="1"/>
    <xf numFmtId="0" fontId="0" fillId="0" borderId="16" xfId="0" applyNumberFormat="1" applyBorder="1"/>
    <xf numFmtId="0" fontId="0" fillId="0" borderId="13" xfId="0" applyNumberFormat="1" applyBorder="1"/>
    <xf numFmtId="0" fontId="0" fillId="0" borderId="10" xfId="0" applyNumberFormat="1" applyBorder="1"/>
    <xf numFmtId="0" fontId="0" fillId="0" borderId="11" xfId="0" applyNumberFormat="1" applyBorder="1"/>
    <xf numFmtId="0" fontId="0" fillId="0" borderId="12" xfId="0" applyNumberForma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1">
                <a:solidFill>
                  <a:srgbClr val="757575"/>
                </a:solidFill>
                <a:latin typeface="+mn-lt"/>
              </a:defRPr>
            </a:pPr>
            <a:r>
              <a:rPr b="1">
                <a:solidFill>
                  <a:srgbClr val="757575"/>
                </a:solidFill>
                <a:latin typeface="+mn-lt"/>
              </a:rPr>
              <a:t>Ejecución presupuestal</a:t>
            </a:r>
          </a:p>
        </c:rich>
      </c:tx>
      <c:overlay val="0"/>
    </c:title>
    <c:autoTitleDeleted val="0"/>
    <c:plotArea>
      <c:layout/>
      <c:barChart>
        <c:barDir val="col"/>
        <c:grouping val="clustered"/>
        <c:varyColors val="1"/>
        <c:ser>
          <c:idx val="0"/>
          <c:order val="0"/>
          <c:tx>
            <c:strRef>
              <c:f>'Ejecución por proyecto de inver'!$B$15</c:f>
              <c:strCache>
                <c:ptCount val="1"/>
              </c:strCache>
            </c:strRef>
          </c:tx>
          <c:spPr>
            <a:solidFill>
              <a:srgbClr val="156082"/>
            </a:solidFill>
            <a:ln cmpd="sng">
              <a:solidFill>
                <a:srgbClr val="000000"/>
              </a:solidFill>
            </a:ln>
          </c:spPr>
          <c:invertIfNegative val="1"/>
          <c:cat>
            <c:strRef>
              <c:f>'Ejecución por proyecto de inver'!$A$16:$A$23</c:f>
              <c:strCache>
                <c:ptCount val="8"/>
                <c:pt idx="0">
                  <c:v>Enfoque Territorial</c:v>
                </c:pt>
                <c:pt idx="1">
                  <c:v>Transversal</c:v>
                </c:pt>
                <c:pt idx="2">
                  <c:v>Fondos</c:v>
                </c:pt>
                <c:pt idx="3">
                  <c:v>Tic</c:v>
                </c:pt>
                <c:pt idx="4">
                  <c:v>Demanda</c:v>
                </c:pt>
                <c:pt idx="5">
                  <c:v>Energía</c:v>
                </c:pt>
                <c:pt idx="6">
                  <c:v>G. Información</c:v>
                </c:pt>
                <c:pt idx="7">
                  <c:v>Hidrocarburos</c:v>
                </c:pt>
              </c:strCache>
            </c:strRef>
          </c:cat>
          <c:val>
            <c:numRef>
              <c:f>'Ejecución por proyecto de inver'!$B$16:$B$23</c:f>
              <c:numCache>
                <c:formatCode>0.00%</c:formatCode>
                <c:ptCount val="8"/>
                <c:pt idx="0">
                  <c:v>0</c:v>
                </c:pt>
                <c:pt idx="1">
                  <c:v>0</c:v>
                </c:pt>
                <c:pt idx="2">
                  <c:v>0</c:v>
                </c:pt>
                <c:pt idx="3">
                  <c:v>0</c:v>
                </c:pt>
                <c:pt idx="4">
                  <c:v>0</c:v>
                </c:pt>
                <c:pt idx="5">
                  <c:v>0</c:v>
                </c:pt>
                <c:pt idx="6">
                  <c:v>0</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63F-4579-86F8-58BF0F185109}"/>
            </c:ext>
          </c:extLst>
        </c:ser>
        <c:ser>
          <c:idx val="1"/>
          <c:order val="1"/>
          <c:tx>
            <c:strRef>
              <c:f>'Ejecución por proyecto de inver'!$C$15</c:f>
              <c:strCache>
                <c:ptCount val="1"/>
              </c:strCache>
            </c:strRef>
          </c:tx>
          <c:spPr>
            <a:solidFill>
              <a:srgbClr val="E97132"/>
            </a:solidFill>
            <a:ln cmpd="sng">
              <a:solidFill>
                <a:srgbClr val="000000"/>
              </a:solidFill>
            </a:ln>
          </c:spPr>
          <c:invertIfNegative val="1"/>
          <c:cat>
            <c:strRef>
              <c:f>'Ejecución por proyecto de inver'!$A$16:$A$23</c:f>
              <c:strCache>
                <c:ptCount val="8"/>
                <c:pt idx="0">
                  <c:v>Enfoque Territorial</c:v>
                </c:pt>
                <c:pt idx="1">
                  <c:v>Transversal</c:v>
                </c:pt>
                <c:pt idx="2">
                  <c:v>Fondos</c:v>
                </c:pt>
                <c:pt idx="3">
                  <c:v>Tic</c:v>
                </c:pt>
                <c:pt idx="4">
                  <c:v>Demanda</c:v>
                </c:pt>
                <c:pt idx="5">
                  <c:v>Energía</c:v>
                </c:pt>
                <c:pt idx="6">
                  <c:v>G. Información</c:v>
                </c:pt>
                <c:pt idx="7">
                  <c:v>Hidrocarburos</c:v>
                </c:pt>
              </c:strCache>
            </c:strRef>
          </c:cat>
          <c:val>
            <c:numRef>
              <c:f>'Ejecución por proyecto de inver'!$C$16:$C$23</c:f>
              <c:numCache>
                <c:formatCode>0.00%</c:formatCode>
                <c:ptCount val="8"/>
                <c:pt idx="0">
                  <c:v>0</c:v>
                </c:pt>
                <c:pt idx="1">
                  <c:v>0</c:v>
                </c:pt>
                <c:pt idx="2">
                  <c:v>0</c:v>
                </c:pt>
                <c:pt idx="3">
                  <c:v>0</c:v>
                </c:pt>
                <c:pt idx="4">
                  <c:v>0</c:v>
                </c:pt>
                <c:pt idx="5">
                  <c:v>0</c:v>
                </c:pt>
                <c:pt idx="6">
                  <c:v>0</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63F-4579-86F8-58BF0F185109}"/>
            </c:ext>
          </c:extLst>
        </c:ser>
        <c:dLbls>
          <c:showLegendKey val="0"/>
          <c:showVal val="0"/>
          <c:showCatName val="0"/>
          <c:showSerName val="0"/>
          <c:showPercent val="0"/>
          <c:showBubbleSize val="0"/>
        </c:dLbls>
        <c:gapWidth val="150"/>
        <c:axId val="1008514544"/>
        <c:axId val="917130380"/>
      </c:barChart>
      <c:catAx>
        <c:axId val="100851454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Dependencia</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917130380"/>
        <c:crosses val="autoZero"/>
        <c:auto val="1"/>
        <c:lblAlgn val="ctr"/>
        <c:lblOffset val="100"/>
        <c:noMultiLvlLbl val="1"/>
      </c:catAx>
      <c:valAx>
        <c:axId val="91713038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s-CO"/>
          </a:p>
        </c:txPr>
        <c:crossAx val="1008514544"/>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xMode val="edge"/>
          <c:yMode val="edge"/>
          <c:x val="0"/>
          <c:y val="0.13038091741123031"/>
          <c:w val="0.71320844164814323"/>
          <c:h val="0.77233453007493236"/>
        </c:manualLayout>
      </c:layout>
      <c:pieChart>
        <c:varyColors val="1"/>
        <c:ser>
          <c:idx val="0"/>
          <c:order val="0"/>
          <c:tx>
            <c:strRef>
              <c:f>TablaDianmica!$B$5</c:f>
              <c:strCache>
                <c:ptCount val="1"/>
                <c:pt idx="0">
                  <c:v>Recuento de OBJETO CONTRACTUAL</c:v>
                </c:pt>
              </c:strCache>
            </c:strRef>
          </c:tx>
          <c:dPt>
            <c:idx val="0"/>
            <c:bubble3D val="0"/>
            <c:spPr>
              <a:solidFill>
                <a:schemeClr val="accent1"/>
              </a:solidFill>
            </c:spPr>
            <c:extLst>
              <c:ext xmlns:c16="http://schemas.microsoft.com/office/drawing/2014/chart" uri="{C3380CC4-5D6E-409C-BE32-E72D297353CC}">
                <c16:uniqueId val="{00000001-D2E9-4D98-B3B9-C8BE1E343452}"/>
              </c:ext>
            </c:extLst>
          </c:dPt>
          <c:dPt>
            <c:idx val="1"/>
            <c:bubble3D val="0"/>
            <c:spPr>
              <a:solidFill>
                <a:schemeClr val="accent2"/>
              </a:solidFill>
            </c:spPr>
            <c:extLst>
              <c:ext xmlns:c16="http://schemas.microsoft.com/office/drawing/2014/chart" uri="{C3380CC4-5D6E-409C-BE32-E72D297353CC}">
                <c16:uniqueId val="{00000003-D2E9-4D98-B3B9-C8BE1E343452}"/>
              </c:ext>
            </c:extLst>
          </c:dPt>
          <c:dPt>
            <c:idx val="2"/>
            <c:bubble3D val="0"/>
            <c:spPr>
              <a:solidFill>
                <a:schemeClr val="accent3"/>
              </a:solidFill>
            </c:spPr>
            <c:extLst>
              <c:ext xmlns:c16="http://schemas.microsoft.com/office/drawing/2014/chart" uri="{C3380CC4-5D6E-409C-BE32-E72D297353CC}">
                <c16:uniqueId val="{00000005-D2E9-4D98-B3B9-C8BE1E343452}"/>
              </c:ext>
            </c:extLst>
          </c:dPt>
          <c:dPt>
            <c:idx val="3"/>
            <c:bubble3D val="0"/>
            <c:spPr>
              <a:solidFill>
                <a:schemeClr val="accent4"/>
              </a:solidFill>
            </c:spPr>
            <c:extLst>
              <c:ext xmlns:c16="http://schemas.microsoft.com/office/drawing/2014/chart" uri="{C3380CC4-5D6E-409C-BE32-E72D297353CC}">
                <c16:uniqueId val="{00000007-D2E9-4D98-B3B9-C8BE1E343452}"/>
              </c:ext>
            </c:extLst>
          </c:dPt>
          <c:dPt>
            <c:idx val="4"/>
            <c:bubble3D val="0"/>
            <c:spPr>
              <a:solidFill>
                <a:schemeClr val="accent5"/>
              </a:solidFill>
            </c:spPr>
            <c:extLst>
              <c:ext xmlns:c16="http://schemas.microsoft.com/office/drawing/2014/chart" uri="{C3380CC4-5D6E-409C-BE32-E72D297353CC}">
                <c16:uniqueId val="{00000009-D2E9-4D98-B3B9-C8BE1E343452}"/>
              </c:ext>
            </c:extLst>
          </c:dPt>
          <c:dPt>
            <c:idx val="5"/>
            <c:bubble3D val="0"/>
            <c:spPr>
              <a:solidFill>
                <a:schemeClr val="accent6"/>
              </a:solidFill>
            </c:spPr>
            <c:extLst>
              <c:ext xmlns:c16="http://schemas.microsoft.com/office/drawing/2014/chart" uri="{C3380CC4-5D6E-409C-BE32-E72D297353CC}">
                <c16:uniqueId val="{0000000B-D2E9-4D98-B3B9-C8BE1E343452}"/>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TablaDianmica!$A$6:$A$11</c:f>
              <c:strCache>
                <c:ptCount val="6"/>
                <c:pt idx="0">
                  <c:v>Mantenimientos y/o mejoras</c:v>
                </c:pt>
                <c:pt idx="1">
                  <c:v>Prestación de servicios profesionales y/o de apoyo a la gestión</c:v>
                </c:pt>
                <c:pt idx="2">
                  <c:v>Software - Licencias</c:v>
                </c:pt>
                <c:pt idx="3">
                  <c:v>Software - Nube pública o privada</c:v>
                </c:pt>
                <c:pt idx="4">
                  <c:v>Viáticos y gastos de viaje</c:v>
                </c:pt>
                <c:pt idx="5">
                  <c:v>Total general</c:v>
                </c:pt>
              </c:strCache>
            </c:strRef>
          </c:cat>
          <c:val>
            <c:numRef>
              <c:f>TablaDianmica!$B$6:$B$11</c:f>
              <c:numCache>
                <c:formatCode>General</c:formatCode>
                <c:ptCount val="6"/>
                <c:pt idx="0">
                  <c:v>7</c:v>
                </c:pt>
                <c:pt idx="1">
                  <c:v>19</c:v>
                </c:pt>
                <c:pt idx="2">
                  <c:v>16</c:v>
                </c:pt>
                <c:pt idx="3">
                  <c:v>2</c:v>
                </c:pt>
                <c:pt idx="4">
                  <c:v>1</c:v>
                </c:pt>
                <c:pt idx="5">
                  <c:v>45</c:v>
                </c:pt>
              </c:numCache>
            </c:numRef>
          </c:val>
          <c:extLst>
            <c:ext xmlns:c16="http://schemas.microsoft.com/office/drawing/2014/chart" uri="{C3380CC4-5D6E-409C-BE32-E72D297353CC}">
              <c16:uniqueId val="{0000000C-D2E9-4D98-B3B9-C8BE1E343452}"/>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824894514767933"/>
          <c:y val="1.5318998586715125E-2"/>
        </c:manualLayout>
      </c:layout>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sz="1400" b="0" i="0">
                <a:solidFill>
                  <a:srgbClr val="757575"/>
                </a:solidFill>
                <a:latin typeface="+mn-lt"/>
              </a:rPr>
              <a:t>RECURSOS ASIGNADOS</a:t>
            </a:r>
          </a:p>
        </c:rich>
      </c:tx>
      <c:overlay val="0"/>
    </c:title>
    <c:autoTitleDeleted val="0"/>
    <c:plotArea>
      <c:layout>
        <c:manualLayout>
          <c:xMode val="edge"/>
          <c:yMode val="edge"/>
          <c:x val="0.12282210353076495"/>
          <c:y val="0.12481189851268591"/>
          <c:w val="0.73442358166767618"/>
          <c:h val="0.87518810148731407"/>
        </c:manualLayout>
      </c:layout>
      <c:pieChart>
        <c:varyColors val="1"/>
        <c:ser>
          <c:idx val="0"/>
          <c:order val="0"/>
          <c:tx>
            <c:strRef>
              <c:f>TablaDianmica!$F$26</c:f>
              <c:strCache>
                <c:ptCount val="1"/>
                <c:pt idx="0">
                  <c:v>Suma de Valor estimado en la vigencia actual</c:v>
                </c:pt>
              </c:strCache>
            </c:strRef>
          </c:tx>
          <c:dPt>
            <c:idx val="0"/>
            <c:bubble3D val="0"/>
            <c:spPr>
              <a:solidFill>
                <a:schemeClr val="accent1"/>
              </a:solidFill>
            </c:spPr>
            <c:extLst>
              <c:ext xmlns:c16="http://schemas.microsoft.com/office/drawing/2014/chart" uri="{C3380CC4-5D6E-409C-BE32-E72D297353CC}">
                <c16:uniqueId val="{00000001-82E4-4CA1-BDF3-763D61B01A39}"/>
              </c:ext>
            </c:extLst>
          </c:dPt>
          <c:dPt>
            <c:idx val="1"/>
            <c:bubble3D val="0"/>
            <c:spPr>
              <a:solidFill>
                <a:schemeClr val="accent2"/>
              </a:solidFill>
            </c:spPr>
            <c:extLst>
              <c:ext xmlns:c16="http://schemas.microsoft.com/office/drawing/2014/chart" uri="{C3380CC4-5D6E-409C-BE32-E72D297353CC}">
                <c16:uniqueId val="{00000003-82E4-4CA1-BDF3-763D61B01A39}"/>
              </c:ext>
            </c:extLst>
          </c:dPt>
          <c:dPt>
            <c:idx val="2"/>
            <c:bubble3D val="0"/>
            <c:spPr>
              <a:solidFill>
                <a:schemeClr val="accent3"/>
              </a:solidFill>
            </c:spPr>
            <c:extLst>
              <c:ext xmlns:c16="http://schemas.microsoft.com/office/drawing/2014/chart" uri="{C3380CC4-5D6E-409C-BE32-E72D297353CC}">
                <c16:uniqueId val="{00000005-82E4-4CA1-BDF3-763D61B01A39}"/>
              </c:ext>
            </c:extLst>
          </c:dPt>
          <c:dPt>
            <c:idx val="3"/>
            <c:bubble3D val="0"/>
            <c:spPr>
              <a:solidFill>
                <a:schemeClr val="accent4"/>
              </a:solidFill>
            </c:spPr>
            <c:extLst>
              <c:ext xmlns:c16="http://schemas.microsoft.com/office/drawing/2014/chart" uri="{C3380CC4-5D6E-409C-BE32-E72D297353CC}">
                <c16:uniqueId val="{00000007-82E4-4CA1-BDF3-763D61B01A39}"/>
              </c:ext>
            </c:extLst>
          </c:dPt>
          <c:dPt>
            <c:idx val="4"/>
            <c:bubble3D val="0"/>
            <c:spPr>
              <a:solidFill>
                <a:schemeClr val="accent5"/>
              </a:solidFill>
            </c:spPr>
            <c:extLst>
              <c:ext xmlns:c16="http://schemas.microsoft.com/office/drawing/2014/chart" uri="{C3380CC4-5D6E-409C-BE32-E72D297353CC}">
                <c16:uniqueId val="{00000009-82E4-4CA1-BDF3-763D61B01A39}"/>
              </c:ext>
            </c:extLst>
          </c:dPt>
          <c:dPt>
            <c:idx val="5"/>
            <c:bubble3D val="0"/>
            <c:spPr>
              <a:solidFill>
                <a:schemeClr val="accent6"/>
              </a:solidFill>
            </c:spPr>
            <c:extLst>
              <c:ext xmlns:c16="http://schemas.microsoft.com/office/drawing/2014/chart" uri="{C3380CC4-5D6E-409C-BE32-E72D297353CC}">
                <c16:uniqueId val="{0000000B-82E4-4CA1-BDF3-763D61B01A39}"/>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TablaDianmica!$E$27:$E$32</c:f>
              <c:strCache>
                <c:ptCount val="6"/>
                <c:pt idx="0">
                  <c:v>Mantenimientos y/o mejoras</c:v>
                </c:pt>
                <c:pt idx="1">
                  <c:v>Prestación de servicios profesionales y/o de apoyo a la gestión</c:v>
                </c:pt>
                <c:pt idx="2">
                  <c:v>Software - Licencias</c:v>
                </c:pt>
                <c:pt idx="3">
                  <c:v>Software - Nube pública o privada</c:v>
                </c:pt>
                <c:pt idx="4">
                  <c:v>Viáticos y gastos de viaje</c:v>
                </c:pt>
                <c:pt idx="5">
                  <c:v>Total general</c:v>
                </c:pt>
              </c:strCache>
            </c:strRef>
          </c:cat>
          <c:val>
            <c:numRef>
              <c:f>TablaDianmica!$F$27:$F$32</c:f>
              <c:numCache>
                <c:formatCode>#,##0</c:formatCode>
                <c:ptCount val="6"/>
                <c:pt idx="0">
                  <c:v>1118440892</c:v>
                </c:pt>
                <c:pt idx="1">
                  <c:v>1125388262</c:v>
                </c:pt>
                <c:pt idx="2">
                  <c:v>1491229086</c:v>
                </c:pt>
                <c:pt idx="3">
                  <c:v>154269639</c:v>
                </c:pt>
                <c:pt idx="4">
                  <c:v>7000000</c:v>
                </c:pt>
                <c:pt idx="5">
                  <c:v>3896327879</c:v>
                </c:pt>
              </c:numCache>
            </c:numRef>
          </c:val>
          <c:extLst>
            <c:ext xmlns:c16="http://schemas.microsoft.com/office/drawing/2014/chart" uri="{C3380CC4-5D6E-409C-BE32-E72D297353CC}">
              <c16:uniqueId val="{0000000C-82E4-4CA1-BDF3-763D61B01A39}"/>
            </c:ext>
          </c:extLst>
        </c:ser>
        <c:dLbls>
          <c:showLegendKey val="0"/>
          <c:showVal val="0"/>
          <c:showCatName val="0"/>
          <c:showSerName val="0"/>
          <c:showPercent val="0"/>
          <c:showBubbleSize val="0"/>
          <c:showLeaderLines val="1"/>
        </c:dLbls>
        <c:firstSliceAng val="0"/>
      </c:pieChart>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942975</xdr:colOff>
      <xdr:row>0</xdr:row>
      <xdr:rowOff>76201</xdr:rowOff>
    </xdr:from>
    <xdr:ext cx="714375" cy="771524"/>
    <xdr:pic>
      <xdr:nvPicPr>
        <xdr:cNvPr id="2" name="Imagen 1">
          <a:extLst>
            <a:ext uri="{FF2B5EF4-FFF2-40B4-BE49-F238E27FC236}">
              <a16:creationId xmlns:a16="http://schemas.microsoft.com/office/drawing/2014/main" id="{CBF168D6-7DED-40B2-B628-AE90531093E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047" t="12381" r="17718" b="12326"/>
        <a:stretch/>
      </xdr:blipFill>
      <xdr:spPr bwMode="auto">
        <a:xfrm>
          <a:off x="942975" y="76201"/>
          <a:ext cx="714375" cy="771524"/>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257175</xdr:colOff>
      <xdr:row>13</xdr:row>
      <xdr:rowOff>47625</xdr:rowOff>
    </xdr:from>
    <xdr:ext cx="5715000" cy="3533775"/>
    <xdr:graphicFrame macro="">
      <xdr:nvGraphicFramePr>
        <xdr:cNvPr id="2" name="Chart 1" title="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114300</xdr:colOff>
      <xdr:row>2</xdr:row>
      <xdr:rowOff>114300</xdr:rowOff>
    </xdr:from>
    <xdr:ext cx="3200400" cy="2905125"/>
    <xdr:graphicFrame macro="">
      <xdr:nvGraphicFramePr>
        <xdr:cNvPr id="2" name="Chart 2">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5</xdr:col>
      <xdr:colOff>2457450</xdr:colOff>
      <xdr:row>21</xdr:row>
      <xdr:rowOff>19050</xdr:rowOff>
    </xdr:from>
    <xdr:ext cx="3000375" cy="3171825"/>
    <xdr:graphicFrame macro="">
      <xdr:nvGraphicFramePr>
        <xdr:cNvPr id="3" name="Chart 3">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33.430848148149" refreshedVersion="8" recordCount="595" xr:uid="{00000000-000A-0000-FFFF-FFFF00000000}">
  <cacheSource type="worksheet">
    <worksheetSource ref="A8:BG603" sheet="PAA 2025 Consolidado_septiembre"/>
  </cacheSource>
  <cacheFields count="59">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48"/>
    </cacheField>
    <cacheField name="Ítem" numFmtId="0">
      <sharedItems/>
    </cacheField>
    <cacheField name="Objetivo Específico del Proyecto de Inversión" numFmtId="0">
      <sharedItems/>
    </cacheField>
    <cacheField name="Producto del Proyecto de Inversión" numFmtId="0">
      <sharedItems count="27">
        <s v="2 - DOCUMENTOS METODOLÓGICOS"/>
        <s v="1 - SERVICIO DE EDUCACIÓN INFORMAL PARA LA GESTIÓN ADMINISTRATIVA"/>
        <s v="5 - DOCUMENTOS DE PLANEACIÓN"/>
        <s v="1 - SERVICIO DE IMPLEMENTACIÓN SISTEMAS DE GESTIÓN"/>
        <s v="3 - DOCUMENTOS METODOLÓGICOS"/>
        <s v="2 - SERVICIO DE ASISTENCIA TÉCNICA"/>
        <s v="2 - DOCUMENTOS DE LINEAMIENTOS TÉCNICOS"/>
        <s v="1 - DOCUMENTO PARA LA PLANEACIÓN ESTRATÉGICA EN TI"/>
        <s v="1 - SERVICIOS TECNOLÓGICOS"/>
        <s v="1 - SERVICIOS DE INFORMACIÓN IMPLEMENTADOS"/>
        <s v="2 - DOCUMENTOS DE PLANEACIÓN"/>
        <s v="1 - SERVICIO DE ASISTENCIA TÉCNICA EN LA ESTRUCTURACIÓN DE CONVOCATORIAS DE LOS SISTEMAS DE TRANSMISIÓN DE ENERGÍA"/>
        <s v="4 - DOCUMENTOS DE PLANEACIÓN"/>
        <s v="1 - SERVICIO DE DIVULGACIÓN DEL SECTOR MINERO ENERGÉTICO"/>
        <s v="1 - DOCUMENTOS DE LINEAMIENTOS TÉCNICOS PARA EL GOBIERNO DE DATOS Y GESTIÓN DE LA INFORMACIÓN"/>
        <s v="1 - SERVICIO DE INFORMACIÓN IMPLEMENTADO E INTEROPERADO"/>
        <s v="1- DOCUMENTOS DE LINEAMIENTOS TÉCNICOS PARA LA PRODUCCIÓN DE INFORMACIÓN DEL SECTOR CON ESTÁNDARES DE CALIDAD"/>
        <s v="1 - SERVICIO DE INFORMACIÓN ACTUALIZADO PARA EL ANÁLISIS Y TOMA DE DECISIONES ESTRATÉGICAS DEL SECTOR"/>
        <s v="1 - SERVICIO DE INFORMACIÓN IMPLEMENTADO PARA LA ACCESIBILIDAD SECTORIAL"/>
        <s v="2 - SERVICIO DE DIVULGACIÓN DEL SECTOR MINERO ENERGÉTICO"/>
        <s v="1 - DOCUMENTOS DE PLANEACIÓN ESTRATÉGICA DEL SECTOR DE HIDROCARBUROS"/>
        <s v="1 - DOCUMENTOS DE LINEAMIENTOS TÉCNICOS - PARA EL DESARROLLO DEL SECTOR DE HIDROCARBUROS"/>
        <s v="1 - DOCUMENTOS DE PLANEACIÓN"/>
        <s v="1 - DOCUMENTOS METODOLÓGICOS"/>
        <s v="1 - DOCUMENTOS DE LINEAMIENTOS TÉCNICOS"/>
        <s v="1 - SERVICIOS DE APOYO PARA LA GESTIÓN DE PROCESOS DE PARTICIPACIÓN, COLABORACIÓN, Y TRANSPARENCIA DEL SECTOR MINERO ENERGÉTICO"/>
        <s v="N.A"/>
      </sharedItems>
    </cacheField>
    <cacheField name="Actividad / Entregable del Proyecto de Inversión" numFmtId="0">
      <sharedItems count="38">
        <s v="Desarrollar la gestión del conocimiento mediante la generación, producción y validación de los documentos metodológicos para la toma de decisiones en los procesos y actividades de la entidad, asegurando su alineación con las estrategias institucionales"/>
        <s v="Diseñar y ejecutar el plan de fortalecimiento de competencias técnicas especializadas para la planeación minero energética"/>
        <s v="Configurar entornos de aprendizaje, intercambio y difusión de conocimiento asociados a prácticas clave de la entidad y su información minero energética, entre los servidores públicos y los grupos de valor"/>
        <s v="Realizar la formulación de políticas, estrategias, proyectos y planes encaminadas a lograr los objetivos institucionales en desarrollo de su misión"/>
        <s v="Realizar la programación y seguimiento a la ejecución de las políticas, estrategias, los planes y proyectos institucionales"/>
        <s v="Planificar y coordinar la apropiación e implementación del MIPG"/>
        <s v="Realizar acciones que faciliten la articulación de los instrumentos de planeación, de cara a la mejora de los productos y servicios prestados a la ciudadanía"/>
        <s v="Realizar la implementación de un esquema organizativo y de gobernabilidad para la gestión del conocimiento"/>
        <s v="Capacitar interesados en la presentación de proyectos de inversión"/>
        <s v="Capacitar organizaciones y usuarios en general en las regiones"/>
        <s v="Documento con la descripción de procesos, métodos y herramientas"/>
        <s v="Documento con los resultados de las validaciones"/>
        <s v="Definir y estructurar las acciones tendientes a la apropiación e implementación de la política de Gobierno Digital"/>
        <s v="Mantener y fortalecer el modelo Operativo de TI"/>
        <s v="Robustecer el nivel de madurez de la estrategia de infraestructura y soluciones en la nube"/>
        <s v="Identificar y apropiar soluciones de TI"/>
        <s v="Administrar de manera eficiente el Software a nivel Institucional, de cara a la mejora de los productos y servicios prestados a la ciudadanía"/>
        <s v="Realizar la adopción del modelo de gestión de Información Institucional"/>
        <s v="Documento de planeación validado"/>
        <s v="Estructurar los documentos técnicos y jurídicos para los procesos de convocatorias y subastas"/>
        <s v="Monitorear los resultados e impactos de los proyectos en ejecución de los procesos de convocatorias y subastas"/>
        <s v="Diagnóstico"/>
        <s v="Documento de planeación preliminar"/>
        <s v="Desarrollar herramientas para el análisis, proyección y divulgación de la información minera"/>
        <s v="Apropiar Insumos para el análisis de Mercado Nacional e internacional de minerales y sus encadenamientos productivos"/>
        <s v="Apropiar insumos para el análisis de Mercado Internacional de minerales y sus tendencias a largo plazo"/>
        <s v="Divulgación"/>
        <s v="Diseño técnico y funcional"/>
        <s v="Pruebas y aseguramiento de calidad"/>
        <s v="Desarrollo"/>
        <s v="Realizar la recolección y procesamiento de la información"/>
        <s v="Desarrollar el proceso de divulgación"/>
        <s v="Documento metodológico preliminar"/>
        <s v="Identificar e incorporar variables sociales, ambientales y territoriales en los documentos de planeación minero energética"/>
        <s v="Implementar la estrategia de comunicación y participación con actores, territorio y sector, que mejoren el relacionamiento con dichos actores bajo el Enfoque Territorial"/>
        <s v="Definir e implementar lineamientos articulados de gestión institucional con enfoque territorial ambiental y social"/>
        <s v="Diseñar la estrategia de comunicación y participación con actores, territorio y sector, que mejoren el relacionamiento con dichos actores bajo el Enfoque Territorial"/>
        <s v="N.A"/>
      </sharedItems>
    </cacheField>
    <cacheField name="Códigos UNSPSC" numFmtId="0">
      <sharedItems containsMixedTypes="1" containsNumber="1" containsInteger="1" minValue="15101506" maxValue="93151511"/>
    </cacheField>
    <cacheField name="Rubro prespuestal" numFmtId="0">
      <sharedItems count="47">
        <s v="C-2199-1900-4-53105B-2199057-02"/>
        <s v="C-2199-1900-4-53105B-2199060-02"/>
        <s v="C-2199-1900-4-53105B-2199056-02"/>
        <s v="C-2199-1900-4-53105B-2199062-02"/>
        <s v="C-2102-1900-5-53106A-2102071-02"/>
        <s v="C-2102-1900-5-53106A-2102008-02"/>
        <s v="C-2199-1900-5-53105B-2199066-02"/>
        <s v="C-2199-1900-5-53105B-2199067-02"/>
        <s v="C-2199-1900-5-53105B-2199065-02"/>
        <s v="C-2102-1900-6-40301C-2102009-02"/>
        <s v="C-2102-1900-6-40301C-2102071-02"/>
        <s v="C-2106-1900-12-40302A-2106003-02"/>
        <s v="C-2106-1900-12-40302A-2106019-02"/>
        <s v="C-2106-1900-14-53105B-2106010-02"/>
        <s v="C-2106-1900-14-53105B-2106034-02"/>
        <s v="C-2106-1900-14-53105B-2106033-02"/>
        <s v="C-2106-1900-14-53105B-2106019-02"/>
        <s v="C-2103-1900-2-40301B-2103026-02"/>
        <s v="C-2103-1900-2-40301B-2103025-02"/>
        <s v="C-2106-1900-13-40302B-2106003-02"/>
        <s v="C-2106-1900-13-40302B-2106005-02"/>
        <s v="C-2106-1900-13-40302B-2106010-02"/>
        <s v="C-2106-1900-10-53105E-2106005-02"/>
        <s v="C-2106-1900-10-53105E-2106022-02"/>
        <s v="A-02-02-02-008-007"/>
        <s v="A-02-02-01-003-002"/>
        <s v="A-02-02-02-009-007"/>
        <s v="A-02-02-02-006-008"/>
        <s v="A-02-02-02-008-009"/>
        <s v="A-02-02-02-006-003"/>
        <s v="A-02-02-02-007-001"/>
        <s v="A-02-02-01-003-003"/>
        <s v="A-02-02-01-002-008"/>
        <s v="A-02-01-01-004-005"/>
        <s v="A-02-02-02-008-004"/>
        <s v="A-02-02-02-009-003"/>
        <s v="A-02-02-02-009-006"/>
        <s v="A-02-02-01-003-005"/>
        <s v="A-02-02-02-008-003"/>
        <s v="A-02-02-02-005-004"/>
        <s v="A-02-02-02-009-002"/>
        <s v="A-05-01-02-008-003 SERVICIOS PROFESIONALES, CIENTÍFICOS Y TÉCNICOS"/>
        <s v="A-02-02-02-008-002"/>
        <s v="A-05-01-02-008-002 SERVICIOS JURIDICOS Y CONTABLES"/>
        <s v="A-05-01-02-007-001 SERVICIOS FINANCIEROS Y CONEXOS"/>
        <s v="A-05-01-02-007-002 SERVICIOS INMOBILIARIOS"/>
        <s v="A-05-01-02-006-008 SERVICIOS POSTALES Y DE MENSAJERIA"/>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0">
      <sharedItems containsSemiMixedTypes="0" containsString="0" containsNumber="1" containsInteger="1" minValue="0" maxValue="1190820000"/>
    </cacheField>
    <cacheField name="Valor estimado en la vigencia actual" numFmtId="0">
      <sharedItems containsSemiMixedTypes="0" containsString="0" containsNumber="1" containsInteger="1" minValue="0" maxValue="1190820000"/>
    </cacheField>
    <cacheField name="¿Se requieren vigencias futuras?" numFmtId="0">
      <sharedItems/>
    </cacheField>
    <cacheField name="Estado de solicitud de vigencias futuras" numFmtId="0">
      <sharedItems/>
    </cacheField>
    <cacheField name="Nombre del responsable" numFmtId="0">
      <sharedItems/>
    </cacheField>
    <cacheField name="Cargo del responsable" numFmtId="0">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0">
      <sharedItems/>
    </cacheField>
    <cacheField name="Compromisos Enero_Modificado" numFmtId="0">
      <sharedItems containsString="0" containsBlank="1" containsNumber="1" minValue="1685912.4" maxValue="155347200"/>
    </cacheField>
    <cacheField name="Obligaciones Enero_Modificado" numFmtId="0">
      <sharedItems containsString="0" containsBlank="1" containsNumber="1" minValue="1685912.4"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288840" maxValue="8433333"/>
    </cacheField>
    <cacheField name="Compromisos Marzo_Modificado" numFmtId="0">
      <sharedItems containsString="0" containsBlank="1" containsNumber="1" containsInteger="1" minValue="-36429120" maxValue="423254289"/>
    </cacheField>
    <cacheField name="Obligaciones Marzo_Modificado" numFmtId="0">
      <sharedItems containsString="0" containsBlank="1" containsNumber="1" minValue="233520" maxValue="15716912"/>
    </cacheField>
    <cacheField name="Compromisos Abril_Modificado" numFmtId="0">
      <sharedItems containsString="0" containsBlank="1" containsNumber="1" containsInteger="1" minValue="-4597320" maxValue="688481282"/>
    </cacheField>
    <cacheField name="Obligaciones Abril_Modificado" numFmtId="0">
      <sharedItems containsString="0" containsBlank="1" containsNumber="1" containsInteger="1" minValue="320796"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70000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366234"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366234"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251393" maxValue="128124266"/>
    </cacheField>
    <cacheField name="Compromisos Septiembre_Modificado" numFmtId="0">
      <sharedItems containsString="0" containsBlank="1" containsNumber="1" containsInteger="1" minValue="-31239320" maxValue="371994000"/>
    </cacheField>
    <cacheField name="Obligaciones Septiembre_Modificado" numFmtId="0">
      <sharedItems containsString="0" containsBlank="1" containsNumber="1" containsInteger="1" minValue="143650" maxValue="120000000"/>
    </cacheField>
    <cacheField name="Compromisos Octubre_Modificado" numFmtId="0">
      <sharedItems containsString="0" containsBlank="1" containsNumber="1" containsInteger="1" minValue="-10666667" maxValue="450240000"/>
    </cacheField>
    <cacheField name="Obligaciones Octubre_Modificado" numFmtId="0">
      <sharedItems containsString="0" containsBlank="1" containsNumber="1" containsInteger="1" minValue="291733" maxValue="840000000"/>
    </cacheField>
    <cacheField name="Compromisos Noviembre_Modificado" numFmtId="0">
      <sharedItems containsString="0" containsBlank="1" containsNumber="1" containsInteger="1" minValue="366000" maxValue="630648274"/>
    </cacheField>
    <cacheField name="Obligaciones Noviembre_Modificado" numFmtId="0">
      <sharedItems containsString="0" containsBlank="1" containsNumber="1" minValue="0" maxValue="225120000"/>
    </cacheField>
    <cacheField name="Compromisos Diciembre_Modificado" numFmtId="0">
      <sharedItems containsString="0" containsBlank="1" containsNumber="1" containsInteger="1" minValue="4" maxValue="53015423"/>
    </cacheField>
    <cacheField name="Obligaciones Diciembre_Modificado" numFmtId="0">
      <sharedItems containsString="0" containsBlank="1" containsNumber="1" minValue="49.64" maxValue="630648274"/>
    </cacheField>
    <cacheField name="Compromisos por definir" numFmtId="0">
      <sharedItems containsString="0" containsBlank="1" containsNumber="1" minValue="0.47" maxValue="45945900"/>
    </cacheField>
    <cacheField name="Obligaciones por definir" numFmtId="0">
      <sharedItems containsString="0" containsBlank="1" containsNumber="1" minValue="0.47" maxValue="45945900"/>
    </cacheField>
    <cacheField name="Total Compromisos_Modificado" numFmtId="3">
      <sharedItems containsSemiMixedTypes="0" containsString="0" containsNumber="1" minValue="0" maxValue="1190820000"/>
    </cacheField>
    <cacheField name="Total Obligaciones_Modificado" numFmtId="3">
      <sharedItems containsSemiMixedTypes="0" containsString="0" containsNumber="1" minValue="0" maxValue="1190820000"/>
    </cacheField>
    <cacheField name="Diferencias (Compromisos - Obligaciones) Modificado" numFmtId="0">
      <sharedItems containsSemiMixedTypes="0" containsString="0" containsNumber="1" containsInteger="1" minValue="-328382004" maxValue="60550000"/>
    </cacheField>
    <cacheField name="Diferencia Valor Ítem - Valor comprometido (Modificado)" numFmtId="4">
      <sharedItems containsSemiMixedTypes="0" containsString="0" containsNumber="1" minValue="0" maxValue="300000000"/>
    </cacheField>
    <cacheField name="Diferencia Valor Ítem - Valor obligado (Modificado)" numFmtId="4">
      <sharedItems containsSemiMixedTypes="0" containsString="0" containsNumber="1" minValue="-310824805" maxValue="3000000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33.430850578705" refreshedVersion="8" recordCount="595" xr:uid="{00000000-000A-0000-FFFF-FFFF01000000}">
  <cacheSource type="worksheet">
    <worksheetSource ref="A8:BG603" sheet="PAA 2025 Consolidado_septiembre"/>
  </cacheSource>
  <cacheFields count="59">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48"/>
    </cacheField>
    <cacheField name="Ítem" numFmtId="0">
      <sharedItems/>
    </cacheField>
    <cacheField name="Objetivo Específico del Proyecto de Inversión" numFmtId="0">
      <sharedItems/>
    </cacheField>
    <cacheField name="Producto del Proyecto de Inversión" numFmtId="0">
      <sharedItems count="27">
        <s v="2 - DOCUMENTOS METODOLÓGICOS"/>
        <s v="1 - SERVICIO DE EDUCACIÓN INFORMAL PARA LA GESTIÓN ADMINISTRATIVA"/>
        <s v="5 - DOCUMENTOS DE PLANEACIÓN"/>
        <s v="1 - SERVICIO DE IMPLEMENTACIÓN SISTEMAS DE GESTIÓN"/>
        <s v="3 - DOCUMENTOS METODOLÓGICOS"/>
        <s v="2 - SERVICIO DE ASISTENCIA TÉCNICA"/>
        <s v="2 - DOCUMENTOS DE LINEAMIENTOS TÉCNICOS"/>
        <s v="1 - DOCUMENTO PARA LA PLANEACIÓN ESTRATÉGICA EN TI"/>
        <s v="1 - SERVICIOS TECNOLÓGICOS"/>
        <s v="1 - SERVICIOS DE INFORMACIÓN IMPLEMENTADOS"/>
        <s v="2 - DOCUMENTOS DE PLANEACIÓN"/>
        <s v="1 - SERVICIO DE ASISTENCIA TÉCNICA EN LA ESTRUCTURACIÓN DE CONVOCATORIAS DE LOS SISTEMAS DE TRANSMISIÓN DE ENERGÍA"/>
        <s v="4 - DOCUMENTOS DE PLANEACIÓN"/>
        <s v="1 - SERVICIO DE DIVULGACIÓN DEL SECTOR MINERO ENERGÉTICO"/>
        <s v="1 - DOCUMENTOS DE LINEAMIENTOS TÉCNICOS PARA EL GOBIERNO DE DATOS Y GESTIÓN DE LA INFORMACIÓN"/>
        <s v="1 - SERVICIO DE INFORMACIÓN IMPLEMENTADO E INTEROPERADO"/>
        <s v="1- DOCUMENTOS DE LINEAMIENTOS TÉCNICOS PARA LA PRODUCCIÓN DE INFORMACIÓN DEL SECTOR CON ESTÁNDARES DE CALIDAD"/>
        <s v="1 - SERVICIO DE INFORMACIÓN ACTUALIZADO PARA EL ANÁLISIS Y TOMA DE DECISIONES ESTRATÉGICAS DEL SECTOR"/>
        <s v="1 - SERVICIO DE INFORMACIÓN IMPLEMENTADO PARA LA ACCESIBILIDAD SECTORIAL"/>
        <s v="2 - SERVICIO DE DIVULGACIÓN DEL SECTOR MINERO ENERGÉTICO"/>
        <s v="1 - DOCUMENTOS DE PLANEACIÓN ESTRATÉGICA DEL SECTOR DE HIDROCARBUROS"/>
        <s v="1 - DOCUMENTOS DE LINEAMIENTOS TÉCNICOS - PARA EL DESARROLLO DEL SECTOR DE HIDROCARBUROS"/>
        <s v="1 - DOCUMENTOS DE PLANEACIÓN"/>
        <s v="1 - DOCUMENTOS METODOLÓGICOS"/>
        <s v="1 - DOCUMENTOS DE LINEAMIENTOS TÉCNICOS"/>
        <s v="1 - SERVICIOS DE APOYO PARA LA GESTIÓN DE PROCESOS DE PARTICIPACIÓN, COLABORACIÓN, Y TRANSPARENCIA DEL SECTOR MINERO ENERGÉTICO"/>
        <s v="N.A"/>
      </sharedItems>
    </cacheField>
    <cacheField name="Actividad / Entregable del Proyecto de Inversión" numFmtId="0">
      <sharedItems/>
    </cacheField>
    <cacheField name="Códigos UNSPSC" numFmtId="0">
      <sharedItems containsMixedTypes="1" containsNumber="1" containsInteger="1" minValue="15101506" maxValue="93151511"/>
    </cacheField>
    <cacheField name="Rubro prespuestal" numFmtId="0">
      <sharedItems count="47">
        <s v="C-2199-1900-4-53105B-2199057-02"/>
        <s v="C-2199-1900-4-53105B-2199060-02"/>
        <s v="C-2199-1900-4-53105B-2199056-02"/>
        <s v="C-2199-1900-4-53105B-2199062-02"/>
        <s v="C-2102-1900-5-53106A-2102071-02"/>
        <s v="C-2102-1900-5-53106A-2102008-02"/>
        <s v="C-2199-1900-5-53105B-2199066-02"/>
        <s v="C-2199-1900-5-53105B-2199067-02"/>
        <s v="C-2199-1900-5-53105B-2199065-02"/>
        <s v="C-2102-1900-6-40301C-2102009-02"/>
        <s v="C-2102-1900-6-40301C-2102071-02"/>
        <s v="C-2106-1900-12-40302A-2106003-02"/>
        <s v="C-2106-1900-12-40302A-2106019-02"/>
        <s v="C-2106-1900-14-53105B-2106010-02"/>
        <s v="C-2106-1900-14-53105B-2106034-02"/>
        <s v="C-2106-1900-14-53105B-2106033-02"/>
        <s v="C-2106-1900-14-53105B-2106019-02"/>
        <s v="C-2103-1900-2-40301B-2103026-02"/>
        <s v="C-2103-1900-2-40301B-2103025-02"/>
        <s v="C-2106-1900-13-40302B-2106003-02"/>
        <s v="C-2106-1900-13-40302B-2106005-02"/>
        <s v="C-2106-1900-13-40302B-2106010-02"/>
        <s v="C-2106-1900-10-53105E-2106005-02"/>
        <s v="C-2106-1900-10-53105E-2106022-02"/>
        <s v="A-02-02-02-008-007"/>
        <s v="A-02-02-01-003-002"/>
        <s v="A-02-02-02-009-007"/>
        <s v="A-02-02-02-006-008"/>
        <s v="A-02-02-02-008-009"/>
        <s v="A-02-02-02-006-003"/>
        <s v="A-02-02-02-007-001"/>
        <s v="A-02-02-01-003-003"/>
        <s v="A-02-02-01-002-008"/>
        <s v="A-02-01-01-004-005"/>
        <s v="A-02-02-02-008-004"/>
        <s v="A-02-02-02-009-003"/>
        <s v="A-02-02-02-009-006"/>
        <s v="A-02-02-01-003-005"/>
        <s v="A-02-02-02-008-003"/>
        <s v="A-02-02-02-005-004"/>
        <s v="A-02-02-02-009-002"/>
        <s v="A-05-01-02-008-003 SERVICIOS PROFESIONALES, CIENTÍFICOS Y TÉCNICOS"/>
        <s v="A-02-02-02-008-002"/>
        <s v="A-05-01-02-008-002 SERVICIOS JURIDICOS Y CONTABLES"/>
        <s v="A-05-01-02-007-001 SERVICIOS FINANCIEROS Y CONEXOS"/>
        <s v="A-05-01-02-007-002 SERVICIOS INMOBILIARIOS"/>
        <s v="A-05-01-02-006-008 SERVICIOS POSTALES Y DE MENSAJERIA"/>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0">
      <sharedItems containsSemiMixedTypes="0" containsString="0" containsNumber="1" containsInteger="1" minValue="0" maxValue="1190820000"/>
    </cacheField>
    <cacheField name="Valor estimado en la vigencia actual" numFmtId="0">
      <sharedItems containsSemiMixedTypes="0" containsString="0" containsNumber="1" containsInteger="1" minValue="0" maxValue="1190820000"/>
    </cacheField>
    <cacheField name="¿Se requieren vigencias futuras?" numFmtId="0">
      <sharedItems/>
    </cacheField>
    <cacheField name="Estado de solicitud de vigencias futuras" numFmtId="0">
      <sharedItems/>
    </cacheField>
    <cacheField name="Nombre del responsable" numFmtId="0">
      <sharedItems/>
    </cacheField>
    <cacheField name="Cargo del responsable" numFmtId="0">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0">
      <sharedItems/>
    </cacheField>
    <cacheField name="Compromisos Enero_Modificado" numFmtId="0">
      <sharedItems containsString="0" containsBlank="1" containsNumber="1" minValue="1685912.4" maxValue="155347200"/>
    </cacheField>
    <cacheField name="Obligaciones Enero_Modificado" numFmtId="0">
      <sharedItems containsString="0" containsBlank="1" containsNumber="1" minValue="1685912.4"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288840" maxValue="8433333"/>
    </cacheField>
    <cacheField name="Compromisos Marzo_Modificado" numFmtId="0">
      <sharedItems containsString="0" containsBlank="1" containsNumber="1" containsInteger="1" minValue="-36429120" maxValue="423254289"/>
    </cacheField>
    <cacheField name="Obligaciones Marzo_Modificado" numFmtId="0">
      <sharedItems containsString="0" containsBlank="1" containsNumber="1" minValue="233520" maxValue="15716912"/>
    </cacheField>
    <cacheField name="Compromisos Abril_Modificado" numFmtId="0">
      <sharedItems containsString="0" containsBlank="1" containsNumber="1" containsInteger="1" minValue="-4597320" maxValue="688481282"/>
    </cacheField>
    <cacheField name="Obligaciones Abril_Modificado" numFmtId="0">
      <sharedItems containsString="0" containsBlank="1" containsNumber="1" containsInteger="1" minValue="320796"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70000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366234"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366234"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251393" maxValue="128124266"/>
    </cacheField>
    <cacheField name="Compromisos Septiembre_Modificado" numFmtId="0">
      <sharedItems containsString="0" containsBlank="1" containsNumber="1" containsInteger="1" minValue="-31239320" maxValue="371994000"/>
    </cacheField>
    <cacheField name="Obligaciones Septiembre_Modificado" numFmtId="0">
      <sharedItems containsString="0" containsBlank="1" containsNumber="1" containsInteger="1" minValue="143650" maxValue="120000000"/>
    </cacheField>
    <cacheField name="Compromisos Octubre_Modificado" numFmtId="0">
      <sharedItems containsString="0" containsBlank="1" containsNumber="1" containsInteger="1" minValue="-10666667" maxValue="450240000"/>
    </cacheField>
    <cacheField name="Obligaciones Octubre_Modificado" numFmtId="0">
      <sharedItems containsString="0" containsBlank="1" containsNumber="1" containsInteger="1" minValue="291733" maxValue="840000000"/>
    </cacheField>
    <cacheField name="Compromisos Noviembre_Modificado" numFmtId="0">
      <sharedItems containsString="0" containsBlank="1" containsNumber="1" containsInteger="1" minValue="366000" maxValue="630648274"/>
    </cacheField>
    <cacheField name="Obligaciones Noviembre_Modificado" numFmtId="0">
      <sharedItems containsString="0" containsBlank="1" containsNumber="1" minValue="0" maxValue="225120000"/>
    </cacheField>
    <cacheField name="Compromisos Diciembre_Modificado" numFmtId="0">
      <sharedItems containsString="0" containsBlank="1" containsNumber="1" containsInteger="1" minValue="4" maxValue="53015423"/>
    </cacheField>
    <cacheField name="Obligaciones Diciembre_Modificado" numFmtId="0">
      <sharedItems containsString="0" containsBlank="1" containsNumber="1" minValue="49.64" maxValue="630648274"/>
    </cacheField>
    <cacheField name="Compromisos por definir" numFmtId="0">
      <sharedItems containsString="0" containsBlank="1" containsNumber="1" minValue="0.47" maxValue="45945900"/>
    </cacheField>
    <cacheField name="Obligaciones por definir" numFmtId="0">
      <sharedItems containsString="0" containsBlank="1" containsNumber="1" minValue="0.47" maxValue="45945900"/>
    </cacheField>
    <cacheField name="Total Compromisos_Modificado" numFmtId="3">
      <sharedItems containsSemiMixedTypes="0" containsString="0" containsNumber="1" minValue="0" maxValue="1190820000"/>
    </cacheField>
    <cacheField name="Total Obligaciones_Modificado" numFmtId="3">
      <sharedItems containsSemiMixedTypes="0" containsString="0" containsNumber="1" minValue="0" maxValue="1190820000"/>
    </cacheField>
    <cacheField name="Diferencias (Compromisos - Obligaciones) Modificado" numFmtId="0">
      <sharedItems containsSemiMixedTypes="0" containsString="0" containsNumber="1" containsInteger="1" minValue="-328382004" maxValue="60550000"/>
    </cacheField>
    <cacheField name="Diferencia Valor Ítem - Valor comprometido (Modificado)" numFmtId="4">
      <sharedItems containsSemiMixedTypes="0" containsString="0" containsNumber="1" minValue="0" maxValue="300000000"/>
    </cacheField>
    <cacheField name="Diferencia Valor Ítem - Valor obligado (Modificado)" numFmtId="4">
      <sharedItems containsSemiMixedTypes="0" containsString="0" containsNumber="1" minValue="-310824805" maxValue="30000000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33.430851851852" refreshedVersion="8" recordCount="595" xr:uid="{00000000-000A-0000-FFFF-FFFF02000000}">
  <cacheSource type="worksheet">
    <worksheetSource ref="A8:AZ603" sheet="PAA 2025 Consolidado_septiembre"/>
  </cacheSource>
  <cacheFields count="52">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48"/>
    </cacheField>
    <cacheField name="Ítem" numFmtId="0">
      <sharedItems/>
    </cacheField>
    <cacheField name="Objetivo Específico del Proyecto de Inversión" numFmtId="0">
      <sharedItems/>
    </cacheField>
    <cacheField name="Producto del Proyecto de Inversión" numFmtId="0">
      <sharedItems/>
    </cacheField>
    <cacheField name="Actividad / Entregable del Proyecto de Inversión" numFmtId="0">
      <sharedItems/>
    </cacheField>
    <cacheField name="Códigos UNSPSC" numFmtId="0">
      <sharedItems containsMixedTypes="1" containsNumber="1" containsInteger="1" minValue="15101506" maxValue="93151511"/>
    </cacheField>
    <cacheField name="Rubro prespuestal" numFmtId="0">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0">
      <sharedItems containsSemiMixedTypes="0" containsString="0" containsNumber="1" containsInteger="1" minValue="0" maxValue="1190820000"/>
    </cacheField>
    <cacheField name="Valor estimado en la vigencia actual" numFmtId="0">
      <sharedItems containsSemiMixedTypes="0" containsString="0" containsNumber="1" containsInteger="1" minValue="0" maxValue="1190820000"/>
    </cacheField>
    <cacheField name="¿Se requieren vigencias futuras?" numFmtId="0">
      <sharedItems/>
    </cacheField>
    <cacheField name="Estado de solicitud de vigencias futuras" numFmtId="0">
      <sharedItems/>
    </cacheField>
    <cacheField name="Nombre del responsable" numFmtId="0">
      <sharedItems/>
    </cacheField>
    <cacheField name="Cargo del responsable" numFmtId="0">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0">
      <sharedItems/>
    </cacheField>
    <cacheField name="Compromisos Enero_Modificado" numFmtId="0">
      <sharedItems containsString="0" containsBlank="1" containsNumber="1" minValue="1685912.4" maxValue="155347200"/>
    </cacheField>
    <cacheField name="Obligaciones Enero_Modificado" numFmtId="0">
      <sharedItems containsString="0" containsBlank="1" containsNumber="1" minValue="1685912.4"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288840" maxValue="8433333"/>
    </cacheField>
    <cacheField name="Compromisos Marzo_Modificado" numFmtId="0">
      <sharedItems containsString="0" containsBlank="1" containsNumber="1" containsInteger="1" minValue="-36429120" maxValue="423254289"/>
    </cacheField>
    <cacheField name="Obligaciones Marzo_Modificado" numFmtId="0">
      <sharedItems containsString="0" containsBlank="1" containsNumber="1" minValue="233520" maxValue="15716912"/>
    </cacheField>
    <cacheField name="Compromisos Abril_Modificado" numFmtId="0">
      <sharedItems containsString="0" containsBlank="1" containsNumber="1" containsInteger="1" minValue="-4597320" maxValue="688481282"/>
    </cacheField>
    <cacheField name="Obligaciones Abril_Modificado" numFmtId="0">
      <sharedItems containsString="0" containsBlank="1" containsNumber="1" containsInteger="1" minValue="320796"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70000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366234"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366234"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251393" maxValue="128124266"/>
    </cacheField>
    <cacheField name="Compromisos Septiembre_Modificado" numFmtId="0">
      <sharedItems containsString="0" containsBlank="1" containsNumber="1" containsInteger="1" minValue="-31239320" maxValue="371994000"/>
    </cacheField>
    <cacheField name="Obligaciones Septiembre_Modificado" numFmtId="0">
      <sharedItems containsString="0" containsBlank="1" containsNumber="1" containsInteger="1" minValue="143650" maxValue="120000000"/>
    </cacheField>
    <cacheField name="Compromisos Octubre_Modificado" numFmtId="0">
      <sharedItems containsString="0" containsBlank="1" containsNumber="1" containsInteger="1" minValue="-10666667" maxValue="450240000"/>
    </cacheField>
    <cacheField name="Obligaciones Octubre_Modificado" numFmtId="0">
      <sharedItems containsString="0" containsBlank="1" containsNumber="1" containsInteger="1" minValue="291733" maxValue="840000000"/>
    </cacheField>
    <cacheField name="Compromisos Noviembre_Modificado" numFmtId="0">
      <sharedItems containsString="0" containsBlank="1" containsNumber="1" containsInteger="1" minValue="366000" maxValue="630648274"/>
    </cacheField>
    <cacheField name="Obligaciones Noviembre_Modificado" numFmtId="0">
      <sharedItems containsString="0" containsBlank="1" containsNumber="1" minValue="0" maxValue="225120000"/>
    </cacheField>
    <cacheField name="Compromisos Diciembre_Modificado" numFmtId="0">
      <sharedItems containsString="0" containsBlank="1" containsNumber="1" containsInteger="1" minValue="4" maxValue="53015423"/>
    </cacheField>
    <cacheField name="Obligaciones Diciembre_Modificado" numFmtId="0">
      <sharedItems containsString="0" containsBlank="1" containsNumber="1" minValue="49.64" maxValue="63064827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5">
  <r>
    <x v="0"/>
    <x v="0"/>
    <s v="Transversal"/>
    <s v="Si"/>
    <n v="48"/>
    <s v="110-1"/>
    <s v="2 - Fortalecer la gestión de conocimiento para la planeación minero energética."/>
    <x v="0"/>
    <x v="0"/>
    <s v="N/A"/>
    <x v="0"/>
    <s v="Planta temporal"/>
    <s v="110-1 Planta temporal"/>
    <s v="Septiembre"/>
    <s v="Septiembre"/>
    <s v="Septiembre"/>
    <n v="4"/>
    <s v="Meses"/>
    <s v="Contratación directa - Prestación de servicios profesionales"/>
    <s v="Propios - 20 - Ingresos corrientes"/>
    <n v="69215423"/>
    <n v="69215423"/>
    <s v="No"/>
    <s v="N/A"/>
    <s v="Liliana Castillo"/>
    <s v="Coordinadora GIT Gestión del Talento Humano"/>
    <n v="6012220601"/>
    <s v="liliana.castillo@upme.gov.co"/>
    <m/>
    <m/>
    <m/>
    <m/>
    <m/>
    <m/>
    <m/>
    <m/>
    <m/>
    <m/>
    <m/>
    <m/>
    <m/>
    <m/>
    <m/>
    <m/>
    <m/>
    <m/>
    <m/>
    <m/>
    <n v="16200000"/>
    <n v="16200000"/>
    <n v="53015423"/>
    <n v="53015423"/>
    <m/>
    <m/>
    <n v="69215423"/>
    <n v="69215423"/>
    <n v="0"/>
    <n v="0"/>
    <n v="0"/>
  </r>
  <r>
    <x v="0"/>
    <x v="0"/>
    <s v="Transversal"/>
    <s v="Si"/>
    <n v="5"/>
    <s v="110-2"/>
    <s v="2 - Fortalecer la gestión de conocimiento para la planeación minero energética."/>
    <x v="1"/>
    <x v="1"/>
    <n v="80111620"/>
    <x v="1"/>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m/>
    <m/>
    <n v="78900000"/>
    <n v="78900000"/>
    <n v="0"/>
    <n v="0"/>
    <n v="0"/>
  </r>
  <r>
    <x v="0"/>
    <x v="0"/>
    <s v="Transversal"/>
    <s v="Si"/>
    <n v="5"/>
    <s v="110-3"/>
    <s v="2 - Fortalecer la gestión de conocimiento para la planeación minero energética."/>
    <x v="1"/>
    <x v="1"/>
    <n v="80111620"/>
    <x v="1"/>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2624000"/>
    <m/>
    <n v="9171356"/>
    <m/>
    <m/>
    <m/>
    <m/>
    <n v="92068956"/>
    <n v="92068956"/>
    <n v="0"/>
    <n v="0"/>
    <n v="0"/>
  </r>
  <r>
    <x v="0"/>
    <x v="0"/>
    <s v="Transversal"/>
    <s v="Si"/>
    <n v="44"/>
    <s v="110-4"/>
    <s v="2 - Fortalecer la gestión de conocimiento para la planeación minero energética."/>
    <x v="0"/>
    <x v="0"/>
    <n v="80111620"/>
    <x v="0"/>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m/>
    <m/>
    <n v="60832200"/>
    <n v="60832200"/>
    <n v="0"/>
    <n v="0"/>
    <n v="0"/>
  </r>
  <r>
    <x v="0"/>
    <x v="0"/>
    <s v="Transversal"/>
    <s v="Si"/>
    <n v="47"/>
    <s v="110-5"/>
    <s v="2 - Fortalecer la gestión de conocimiento para la planeación minero energética."/>
    <x v="1"/>
    <x v="2"/>
    <n v="80131500"/>
    <x v="1"/>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m/>
    <m/>
    <n v="0"/>
    <n v="0"/>
    <n v="0"/>
    <n v="0"/>
    <n v="0"/>
  </r>
  <r>
    <x v="0"/>
    <x v="0"/>
    <s v="Transversal"/>
    <s v="Si"/>
    <n v="40"/>
    <s v="110-6"/>
    <s v="2 - Fortalecer la gestión de conocimiento para la planeación minero energética."/>
    <x v="0"/>
    <x v="0"/>
    <n v="80111620"/>
    <x v="0"/>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m/>
    <m/>
    <n v="86765890"/>
    <n v="86765890"/>
    <n v="0"/>
    <n v="0"/>
    <n v="0"/>
  </r>
  <r>
    <x v="0"/>
    <x v="0"/>
    <s v="Transversal"/>
    <s v="Si"/>
    <n v="40"/>
    <s v="110-7"/>
    <s v="2 - Fortalecer la gestión de conocimiento para la planeación minero energética."/>
    <x v="0"/>
    <x v="0"/>
    <n v="80111620"/>
    <x v="0"/>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m/>
    <m/>
    <n v="103500000"/>
    <n v="103500000"/>
    <n v="0"/>
    <n v="0"/>
    <n v="0"/>
  </r>
  <r>
    <x v="0"/>
    <x v="0"/>
    <s v="Transversal"/>
    <s v="Si"/>
    <n v="40"/>
    <s v="110-8"/>
    <s v="2 - Fortalecer la gestión de conocimiento para la planeación minero energética."/>
    <x v="0"/>
    <x v="0"/>
    <n v="80111620"/>
    <x v="0"/>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m/>
    <m/>
    <n v="80733333"/>
    <n v="80733333"/>
    <n v="0"/>
    <n v="0"/>
    <n v="0"/>
  </r>
  <r>
    <x v="0"/>
    <x v="0"/>
    <s v="Transversal"/>
    <s v="Si"/>
    <s v="75 (30/12/2024)"/>
    <s v="110-9"/>
    <s v="2 - Fortalecer la gestión de conocimiento para la planeación minero energética."/>
    <x v="0"/>
    <x v="0"/>
    <n v="80111620"/>
    <x v="0"/>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m/>
    <m/>
    <n v="5941291"/>
    <m/>
    <n v="6800000"/>
    <m/>
    <m/>
    <n v="44191291"/>
    <n v="44191291"/>
    <n v="0"/>
    <n v="0"/>
    <n v="0"/>
  </r>
  <r>
    <x v="0"/>
    <x v="0"/>
    <s v="Transversal"/>
    <s v="Si"/>
    <n v="32"/>
    <s v="110-10"/>
    <s v="2 - Fortalecer la gestión de conocimiento para la planeación minero energética."/>
    <x v="0"/>
    <x v="0"/>
    <n v="80111620"/>
    <x v="0"/>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8500000"/>
    <m/>
    <n v="2558709"/>
    <m/>
    <m/>
    <m/>
    <m/>
    <n v="45058709"/>
    <n v="45058709"/>
    <n v="0"/>
    <n v="0"/>
    <n v="0"/>
  </r>
  <r>
    <x v="0"/>
    <x v="0"/>
    <s v="Transversal"/>
    <s v="Si"/>
    <n v="32"/>
    <s v="110-11"/>
    <s v="2 - Fortalecer la gestión de conocimiento para la planeación minero energética."/>
    <x v="0"/>
    <x v="0"/>
    <n v="80111620"/>
    <x v="0"/>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m/>
    <m/>
    <n v="126500000"/>
    <n v="126500000"/>
    <n v="0"/>
    <n v="0"/>
    <n v="0"/>
  </r>
  <r>
    <x v="0"/>
    <x v="0"/>
    <s v="Transversal"/>
    <s v="Si"/>
    <s v="75 (30/12/2024)"/>
    <s v="110-12"/>
    <s v="2 - Fortalecer la gestión de conocimiento para la planeación minero energética."/>
    <x v="0"/>
    <x v="0"/>
    <n v="80111620"/>
    <x v="0"/>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m/>
    <m/>
    <n v="29398747"/>
    <n v="29398747"/>
    <n v="0"/>
    <n v="0"/>
    <n v="0"/>
  </r>
  <r>
    <x v="0"/>
    <x v="0"/>
    <s v="Transversal"/>
    <s v="Si"/>
    <s v="75 (30/12/2024)"/>
    <s v="110-13"/>
    <s v="2 - Fortalecer la gestión de conocimiento para la planeación minero energética."/>
    <x v="0"/>
    <x v="0"/>
    <n v="80111620"/>
    <x v="0"/>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m/>
    <m/>
    <n v="33035471"/>
    <n v="33035471"/>
    <n v="0"/>
    <n v="0"/>
    <n v="0"/>
  </r>
  <r>
    <x v="0"/>
    <x v="0"/>
    <s v="Transversal"/>
    <s v="Si"/>
    <n v="32"/>
    <s v="110-14"/>
    <s v="2 - Fortalecer la gestión de conocimiento para la planeación minero energética."/>
    <x v="1"/>
    <x v="2"/>
    <n v="80111620"/>
    <x v="1"/>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m/>
    <m/>
    <n v="0"/>
    <n v="0"/>
    <n v="0"/>
    <n v="0"/>
    <n v="0"/>
  </r>
  <r>
    <x v="0"/>
    <x v="0"/>
    <s v="Transversal"/>
    <s v="Si"/>
    <n v="6"/>
    <s v="110-15"/>
    <s v="2 - Fortalecer la gestión de conocimiento para la planeación minero energética."/>
    <x v="1"/>
    <x v="2"/>
    <n v="80111620"/>
    <x v="1"/>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53778903"/>
    <m/>
    <n v="53778903"/>
    <m/>
    <n v="26889452"/>
    <m/>
    <m/>
    <n v="134447258"/>
    <n v="134447258"/>
    <n v="0"/>
    <n v="0"/>
    <n v="0"/>
  </r>
  <r>
    <x v="0"/>
    <x v="0"/>
    <s v="Transversal"/>
    <s v="Si"/>
    <n v="32"/>
    <s v="110-16"/>
    <s v="2 - Fortalecer la gestión de conocimiento para la planeación minero energética."/>
    <x v="1"/>
    <x v="2"/>
    <n v="80111620"/>
    <x v="1"/>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m/>
    <m/>
    <n v="22692000"/>
    <n v="22692000"/>
    <n v="0"/>
    <n v="0"/>
    <n v="0"/>
  </r>
  <r>
    <x v="0"/>
    <x v="0"/>
    <s v="Transversal"/>
    <s v="Si"/>
    <s v="75 (30/12/2024)"/>
    <s v="110-17"/>
    <s v="2 - Fortalecer la gestión de conocimiento para la planeación minero energética."/>
    <x v="1"/>
    <x v="1"/>
    <n v="80111620"/>
    <x v="1"/>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m/>
    <m/>
    <n v="29988500"/>
    <n v="29988500"/>
    <n v="0"/>
    <n v="0"/>
    <n v="0"/>
  </r>
  <r>
    <x v="0"/>
    <x v="0"/>
    <s v="Transversal"/>
    <s v="Si"/>
    <n v="5"/>
    <s v="110-18"/>
    <s v="2 - Fortalecer la gestión de conocimiento para la planeación minero energética."/>
    <x v="1"/>
    <x v="2"/>
    <n v="80111620"/>
    <x v="1"/>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m/>
    <m/>
    <n v="2611044"/>
    <m/>
    <m/>
    <m/>
    <m/>
    <n v="2611044"/>
    <n v="2611044"/>
    <n v="0"/>
    <n v="0"/>
    <n v="0"/>
  </r>
  <r>
    <x v="0"/>
    <x v="0"/>
    <s v="Transversal"/>
    <s v="Si"/>
    <n v="47"/>
    <s v="110-19"/>
    <s v="2 - Fortalecer la gestión de conocimiento para la planeación minero energética."/>
    <x v="1"/>
    <x v="2"/>
    <n v="43233600"/>
    <x v="1"/>
    <s v="Adquisición de bienes y/o servicios (otros)"/>
    <s v="110-19 Contratar el suministro de una solución tecnológica integral en la modalidad de software como servicio (SaaS), que permita la gestión unificada de los procesos de nómina, recursos humanos, administración de contratistas, y el control de bienes y se"/>
    <s v="Julio"/>
    <s v="Agosto"/>
    <s v="Septiembre"/>
    <n v="12"/>
    <s v="Meses"/>
    <s v="Seléccion abreviada - acuerdo marco"/>
    <s v="Propios - 20 - Ingresos corrientes"/>
    <n v="20000000"/>
    <n v="20000000"/>
    <s v="No"/>
    <s v="N/A"/>
    <s v="Liliana Castillo"/>
    <s v="Coordinadora GIT Gestión del Talento Humano"/>
    <n v="6012220601"/>
    <s v="liliana.castillo@upme.gov.co"/>
    <m/>
    <m/>
    <m/>
    <m/>
    <m/>
    <m/>
    <m/>
    <m/>
    <m/>
    <m/>
    <m/>
    <m/>
    <m/>
    <m/>
    <m/>
    <m/>
    <m/>
    <m/>
    <n v="20000000"/>
    <m/>
    <m/>
    <n v="20000000"/>
    <m/>
    <m/>
    <m/>
    <m/>
    <n v="20000000"/>
    <n v="20000000"/>
    <n v="0"/>
    <n v="0"/>
    <n v="0"/>
  </r>
  <r>
    <x v="0"/>
    <x v="0"/>
    <s v="Transversal"/>
    <s v="Si"/>
    <n v="15"/>
    <s v="110-20"/>
    <s v="2 - Fortalecer la gestión de conocimiento para la planeación minero energética."/>
    <x v="1"/>
    <x v="2"/>
    <n v="43233501"/>
    <x v="1"/>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m/>
    <m/>
    <n v="8830541"/>
    <n v="8830541"/>
    <n v="0"/>
    <n v="0"/>
    <n v="0"/>
  </r>
  <r>
    <x v="0"/>
    <x v="0"/>
    <s v="Transversal"/>
    <s v="Si"/>
    <n v="16"/>
    <s v="110-21"/>
    <s v="2 - Fortalecer la gestión de conocimiento para la planeación minero energética."/>
    <x v="1"/>
    <x v="2"/>
    <n v="80111620"/>
    <x v="1"/>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m/>
    <m/>
    <n v="9764650"/>
    <n v="9764650"/>
    <n v="0"/>
    <n v="0"/>
    <n v="0"/>
  </r>
  <r>
    <x v="0"/>
    <x v="0"/>
    <s v="Transversal"/>
    <s v="Si"/>
    <n v="47"/>
    <s v="110-22"/>
    <s v="2 - Fortalecer la gestión de conocimiento para la planeación minero energética."/>
    <x v="1"/>
    <x v="2"/>
    <n v="80111620"/>
    <x v="1"/>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n v="7272727"/>
    <m/>
    <n v="14060606"/>
    <m/>
    <m/>
    <n v="32727272"/>
    <n v="32727272"/>
    <n v="0"/>
    <n v="0"/>
    <n v="0"/>
  </r>
  <r>
    <x v="0"/>
    <x v="0"/>
    <s v="Transversal"/>
    <s v="Si"/>
    <n v="44"/>
    <s v="110-23"/>
    <s v="2 - Fortalecer la gestión de conocimiento para la planeación minero energética."/>
    <x v="1"/>
    <x v="2"/>
    <n v="80111620"/>
    <x v="1"/>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m/>
    <m/>
    <n v="16363638"/>
    <n v="16363638"/>
    <n v="0"/>
    <n v="0"/>
    <n v="0"/>
  </r>
  <r>
    <x v="0"/>
    <x v="0"/>
    <s v="Transversal"/>
    <s v="Si"/>
    <n v="37"/>
    <s v="110-24"/>
    <s v="2 - Fortalecer la gestión de conocimiento para la planeación minero energética."/>
    <x v="1"/>
    <x v="2"/>
    <n v="80111620"/>
    <x v="1"/>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n v="6000000"/>
    <m/>
    <n v="6000000"/>
    <m/>
    <n v="5720236"/>
    <m/>
    <m/>
    <n v="17720236"/>
    <n v="17720236"/>
    <n v="0"/>
    <n v="0"/>
    <n v="0"/>
  </r>
  <r>
    <x v="0"/>
    <x v="0"/>
    <s v="Transversal"/>
    <s v="Si"/>
    <n v="44"/>
    <s v="110-25"/>
    <s v="2 - Fortalecer la gestión de conocimiento para la planeación minero energética."/>
    <x v="0"/>
    <x v="0"/>
    <n v="80111620"/>
    <x v="0"/>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8279764"/>
    <n v="8279764"/>
    <s v="No"/>
    <s v="N/A"/>
    <s v="Angela Lobo"/>
    <s v="Coordinadora GIT Contractual "/>
    <n v="6012220601"/>
    <s v="angela.lobo@upme.gov.co"/>
    <m/>
    <m/>
    <m/>
    <m/>
    <m/>
    <m/>
    <m/>
    <m/>
    <m/>
    <m/>
    <m/>
    <m/>
    <m/>
    <m/>
    <n v="8279764"/>
    <m/>
    <n v="-1000000"/>
    <m/>
    <m/>
    <m/>
    <n v="1000000"/>
    <m/>
    <m/>
    <n v="8279764"/>
    <m/>
    <m/>
    <n v="8279764"/>
    <n v="8279764"/>
    <n v="0"/>
    <n v="0"/>
    <n v="0"/>
  </r>
  <r>
    <x v="0"/>
    <x v="0"/>
    <s v="Transversal"/>
    <s v="Si"/>
    <n v="44"/>
    <s v="110-26"/>
    <s v="2 - Fortalecer la gestión de conocimiento para la planeación minero energética."/>
    <x v="0"/>
    <x v="0"/>
    <n v="80111620"/>
    <x v="0"/>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4500000"/>
    <m/>
    <n v="4500000"/>
    <m/>
    <n v="12667800"/>
    <m/>
    <m/>
    <n v="21667800"/>
    <n v="21667800"/>
    <n v="0"/>
    <n v="0"/>
    <n v="0"/>
  </r>
  <r>
    <x v="0"/>
    <x v="0"/>
    <s v="Transversal"/>
    <s v="Si"/>
    <n v="39"/>
    <s v="110-27"/>
    <s v="2 - Fortalecer la gestión de conocimiento para la planeación minero energética."/>
    <x v="1"/>
    <x v="2"/>
    <n v="80111620"/>
    <x v="1"/>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m/>
    <m/>
    <n v="15150000"/>
    <n v="15150000"/>
    <n v="0"/>
    <n v="0"/>
    <n v="0"/>
  </r>
  <r>
    <x v="0"/>
    <x v="0"/>
    <s v="Transversal"/>
    <s v="Si"/>
    <n v="44"/>
    <s v="110-28"/>
    <s v="2 - Fortalecer la gestión de conocimiento para la planeación minero energética."/>
    <x v="1"/>
    <x v="2"/>
    <n v="80111620"/>
    <x v="1"/>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m/>
    <m/>
    <n v="9767800"/>
    <n v="9767800"/>
    <n v="0"/>
    <n v="0"/>
    <n v="0"/>
  </r>
  <r>
    <x v="0"/>
    <x v="0"/>
    <s v="Transversal"/>
    <s v="Si"/>
    <n v="47"/>
    <s v="110-29"/>
    <s v="2 - Fortalecer la gestión de conocimiento para la planeación minero energética."/>
    <x v="1"/>
    <x v="2"/>
    <n v="80111620"/>
    <x v="1"/>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10088790"/>
    <n v="10088790"/>
    <s v="No"/>
    <s v="N/A"/>
    <s v="Katherin Perez"/>
    <s v="Coordinadora GITTH "/>
    <n v="6012220601"/>
    <s v="katherine.perez@upme.gov.co"/>
    <m/>
    <m/>
    <m/>
    <m/>
    <m/>
    <m/>
    <m/>
    <m/>
    <m/>
    <m/>
    <m/>
    <m/>
    <m/>
    <m/>
    <m/>
    <m/>
    <m/>
    <m/>
    <n v="10088790"/>
    <m/>
    <m/>
    <n v="3088790"/>
    <m/>
    <n v="7000000"/>
    <m/>
    <m/>
    <n v="10088790"/>
    <n v="10088790"/>
    <n v="0"/>
    <n v="0"/>
    <n v="0"/>
  </r>
  <r>
    <x v="0"/>
    <x v="0"/>
    <s v="Transversal"/>
    <s v="Si"/>
    <n v="48"/>
    <s v="110-30"/>
    <s v="2 - Fortalecer la gestión de conocimiento para la planeación minero energética."/>
    <x v="0"/>
    <x v="0"/>
    <n v="80111620"/>
    <x v="0"/>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18000000"/>
    <n v="18000000"/>
    <s v="No"/>
    <s v="N/A"/>
    <s v="Carolina Barrera"/>
    <s v="Coordinadora GITTH "/>
    <n v="6012220601"/>
    <s v="yenny.barrera@upme.gov.co"/>
    <m/>
    <m/>
    <m/>
    <m/>
    <m/>
    <m/>
    <m/>
    <m/>
    <m/>
    <m/>
    <m/>
    <m/>
    <m/>
    <m/>
    <m/>
    <m/>
    <m/>
    <m/>
    <n v="18000000"/>
    <m/>
    <m/>
    <n v="3600000"/>
    <m/>
    <n v="14400000"/>
    <m/>
    <m/>
    <n v="18000000"/>
    <n v="18000000"/>
    <n v="0"/>
    <n v="0"/>
    <n v="0"/>
  </r>
  <r>
    <x v="0"/>
    <x v="0"/>
    <s v="Transversal"/>
    <s v="Si"/>
    <n v="48"/>
    <s v="110-31"/>
    <s v="2 - Fortalecer la gestión de conocimiento para la planeación minero energética."/>
    <x v="0"/>
    <x v="0"/>
    <n v="80111620"/>
    <x v="0"/>
    <s v="Prestación de servicios profesionales y/o de apoyo a la gestión"/>
    <s v="110-31 Prestar servicios de apoyo a la gestión de los procesos y procedimientos de competencia de la Oficina Asesora Jurídica y la Secretaría general de la UPME, , en el marco del proyecto de inversión &quot;Fortalecimiento de la percepción ciudadana frente a "/>
    <s v="Octubre"/>
    <s v="Octubre"/>
    <s v="Octubre"/>
    <n v="2.5"/>
    <s v="Meses"/>
    <s v="Contratación directa- prestación de servicios profesionales "/>
    <s v="Propios - 20 - Ingresos corrientes"/>
    <n v="10000000"/>
    <n v="10000000"/>
    <s v="No"/>
    <s v="N/A"/>
    <s v="Carolina Barrera"/>
    <s v="Coordinadora GITTH "/>
    <n v="6012220601"/>
    <s v="yenny.barrera@upme.gov.co"/>
    <m/>
    <m/>
    <m/>
    <m/>
    <m/>
    <m/>
    <m/>
    <m/>
    <m/>
    <m/>
    <m/>
    <m/>
    <m/>
    <m/>
    <m/>
    <m/>
    <m/>
    <m/>
    <n v="10000000"/>
    <m/>
    <m/>
    <n v="2000000"/>
    <m/>
    <n v="8000000"/>
    <m/>
    <m/>
    <n v="10000000"/>
    <n v="10000000"/>
    <n v="0"/>
    <n v="0"/>
    <n v="0"/>
  </r>
  <r>
    <x v="0"/>
    <x v="1"/>
    <s v="Transversal"/>
    <s v="Si"/>
    <n v="40"/>
    <s v="101-1"/>
    <s v="1 - Mejorar el direccionamiento estratégico y la gestión de los procesos frente a la ciudadanía."/>
    <x v="2"/>
    <x v="3"/>
    <n v="80111620"/>
    <x v="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m/>
    <n v="11000000"/>
    <m/>
    <n v="11000000"/>
    <n v="1100000"/>
    <n v="22000000"/>
    <m/>
    <m/>
    <n v="127600000"/>
    <n v="127600000"/>
    <n v="0"/>
    <n v="0"/>
    <n v="0"/>
  </r>
  <r>
    <x v="0"/>
    <x v="1"/>
    <s v="Transversal"/>
    <s v="Si"/>
    <s v="75 (30/12/2024)"/>
    <s v="101-2"/>
    <s v="1 - Mejorar el direccionamiento estratégico y la gestión de los procesos frente a la ciudadanía."/>
    <x v="2"/>
    <x v="3"/>
    <n v="80111620"/>
    <x v="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m/>
    <m/>
    <n v="39754000"/>
    <n v="39754000"/>
    <n v="0"/>
    <n v="0"/>
    <n v="0"/>
  </r>
  <r>
    <x v="0"/>
    <x v="1"/>
    <s v="Transversal"/>
    <s v="Si"/>
    <n v="40"/>
    <s v="101-3"/>
    <s v="1 - Mejorar el direccionamiento estratégico y la gestión de los procesos frente a la ciudadanía."/>
    <x v="2"/>
    <x v="3"/>
    <n v="80111620"/>
    <x v="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911504"/>
    <n v="10911504"/>
    <s v="No"/>
    <s v="N/A"/>
    <s v="Diego Armando Vanegas Páez"/>
    <s v="Jefe de Oficina Asesora"/>
    <n v="6012220601"/>
    <s v="diego.vanegas@upme.gov.co"/>
    <m/>
    <m/>
    <n v="10865541"/>
    <m/>
    <m/>
    <m/>
    <m/>
    <m/>
    <m/>
    <m/>
    <m/>
    <m/>
    <m/>
    <m/>
    <m/>
    <n v="2865541"/>
    <m/>
    <n v="6666667"/>
    <m/>
    <n v="1333333"/>
    <m/>
    <n v="0"/>
    <m/>
    <m/>
    <n v="45963"/>
    <n v="45963"/>
    <n v="10911504"/>
    <n v="10911504"/>
    <n v="0"/>
    <n v="0"/>
    <n v="0"/>
  </r>
  <r>
    <x v="0"/>
    <x v="1"/>
    <s v="Transversal"/>
    <s v="Si"/>
    <n v="41"/>
    <s v="101-4"/>
    <s v="1 - Mejorar el direccionamiento estratégico y la gestión de los procesos frente a la ciudadanía."/>
    <x v="2"/>
    <x v="4"/>
    <n v="80111620"/>
    <x v="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m/>
    <m/>
    <n v="45600000"/>
    <n v="45600000"/>
    <n v="0"/>
    <n v="0"/>
    <n v="0"/>
  </r>
  <r>
    <x v="0"/>
    <x v="1"/>
    <s v="Transversal"/>
    <s v="Si"/>
    <s v="75 (30/12/2024)"/>
    <s v="101-5"/>
    <s v="1 - Mejorar el direccionamiento estratégico y la gestión de los procesos frente a la ciudadanía."/>
    <x v="2"/>
    <x v="4"/>
    <n v="80111620"/>
    <x v="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n v="2285039"/>
    <m/>
    <n v="4738699"/>
    <m/>
    <m/>
    <m/>
    <m/>
    <n v="7918450"/>
    <n v="7918450"/>
    <n v="0"/>
    <n v="0"/>
    <n v="0"/>
  </r>
  <r>
    <x v="0"/>
    <x v="1"/>
    <s v="Transversal"/>
    <s v="Si"/>
    <s v="75 (30/12/2024)"/>
    <s v="101-6"/>
    <s v="1 - Mejorar el direccionamiento estratégico y la gestión de los procesos frente a la ciudadanía."/>
    <x v="2"/>
    <x v="4"/>
    <n v="80111620"/>
    <x v="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m/>
    <m/>
    <n v="7918450"/>
    <n v="7918450"/>
    <n v="0"/>
    <n v="0"/>
    <n v="0"/>
  </r>
  <r>
    <x v="0"/>
    <x v="1"/>
    <s v="Transversal"/>
    <s v="Si"/>
    <n v="13"/>
    <s v="101-7"/>
    <s v="1 - Mejorar el direccionamiento estratégico y la gestión de los procesos frente a la ciudadanía."/>
    <x v="2"/>
    <x v="4"/>
    <n v="84111603"/>
    <x v="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m/>
    <m/>
    <n v="10000000"/>
    <n v="10000000"/>
    <n v="0"/>
    <n v="0"/>
    <n v="0"/>
  </r>
  <r>
    <x v="0"/>
    <x v="1"/>
    <s v="Transversal"/>
    <s v="Si"/>
    <n v="13"/>
    <s v="101-8"/>
    <s v="1 - Mejorar el direccionamiento estratégico y la gestión de los procesos frente a la ciudadanía."/>
    <x v="2"/>
    <x v="4"/>
    <n v="84111603"/>
    <x v="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m/>
    <m/>
    <n v="10000000"/>
    <n v="10000000"/>
    <n v="0"/>
    <n v="0"/>
    <n v="0"/>
  </r>
  <r>
    <x v="0"/>
    <x v="1"/>
    <s v="Transversal"/>
    <s v="Si"/>
    <n v="40"/>
    <s v="101-9"/>
    <s v="1 - Mejorar el direccionamiento estratégico y la gestión de los procesos frente a la ciudadanía."/>
    <x v="2"/>
    <x v="4"/>
    <n v="84111603"/>
    <x v="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5942694"/>
    <n v="15942694"/>
    <s v="No"/>
    <s v="N/A"/>
    <s v="Diego Armando Vanegas Páez"/>
    <s v="Jefe de Oficina Asesora"/>
    <n v="6012220601"/>
    <s v="diego.vanegas@upme.gov.co"/>
    <m/>
    <m/>
    <m/>
    <m/>
    <m/>
    <m/>
    <m/>
    <m/>
    <m/>
    <m/>
    <m/>
    <m/>
    <m/>
    <m/>
    <m/>
    <m/>
    <m/>
    <m/>
    <n v="15942694"/>
    <m/>
    <m/>
    <m/>
    <m/>
    <n v="15942694"/>
    <m/>
    <m/>
    <n v="15942694"/>
    <n v="15942694"/>
    <n v="0"/>
    <n v="0"/>
    <n v="0"/>
  </r>
  <r>
    <x v="0"/>
    <x v="1"/>
    <s v="Transversal"/>
    <s v="Si"/>
    <n v="41"/>
    <s v="101-10"/>
    <s v="1 - Mejorar el direccionamiento estratégico y la gestión de los procesos frente a la ciudadanía."/>
    <x v="2"/>
    <x v="4"/>
    <n v="80111620"/>
    <x v="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8000000"/>
    <n v="28000000"/>
    <s v="No"/>
    <s v="N/A"/>
    <s v="Diego Armando Vanegas Páez"/>
    <s v="Jefe de Oficina Asesora"/>
    <n v="6012220601"/>
    <s v="diego.vanegas@upme.gov.co"/>
    <m/>
    <m/>
    <m/>
    <m/>
    <m/>
    <m/>
    <m/>
    <m/>
    <m/>
    <m/>
    <m/>
    <m/>
    <m/>
    <m/>
    <m/>
    <m/>
    <n v="28000000"/>
    <m/>
    <m/>
    <n v="4500000"/>
    <m/>
    <n v="9000000"/>
    <m/>
    <n v="14500000"/>
    <m/>
    <m/>
    <n v="28000000"/>
    <n v="28000000"/>
    <n v="0"/>
    <n v="0"/>
    <n v="0"/>
  </r>
  <r>
    <x v="0"/>
    <x v="1"/>
    <s v="Transversal"/>
    <s v="Si"/>
    <n v="41"/>
    <s v="101-11"/>
    <s v="1 - Mejorar el direccionamiento estratégico y la gestión de los procesos frente a la ciudadanía."/>
    <x v="2"/>
    <x v="4"/>
    <n v="80111620"/>
    <x v="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n v="4000000"/>
    <m/>
    <n v="8000000"/>
    <m/>
    <n v="6525636"/>
    <m/>
    <m/>
    <n v="18525636"/>
    <n v="18525636"/>
    <n v="0"/>
    <n v="0"/>
    <n v="0"/>
  </r>
  <r>
    <x v="0"/>
    <x v="1"/>
    <s v="Transversal"/>
    <s v="Si"/>
    <n v="41"/>
    <s v="101-12"/>
    <s v="1 - Mejorar el direccionamiento estratégico y la gestión de los procesos frente a la ciudadanía."/>
    <x v="2"/>
    <x v="4"/>
    <n v="43233701"/>
    <x v="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n v="13142286"/>
    <m/>
    <m/>
    <n v="13142286"/>
    <m/>
    <m/>
    <n v="13142286"/>
    <n v="13142286"/>
    <n v="0"/>
    <n v="0"/>
    <n v="0"/>
  </r>
  <r>
    <x v="0"/>
    <x v="1"/>
    <s v="Transversal"/>
    <s v="Si"/>
    <n v="40"/>
    <s v="101-13"/>
    <s v="1 - Mejorar el direccionamiento estratégico y la gestión de los procesos frente a la ciudadanía."/>
    <x v="3"/>
    <x v="5"/>
    <n v="80111620"/>
    <x v="3"/>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m/>
    <n v="10000000"/>
    <m/>
    <n v="10000000"/>
    <n v="2000000"/>
    <n v="20000000"/>
    <m/>
    <m/>
    <n v="117000000"/>
    <n v="117000000"/>
    <n v="0"/>
    <n v="0"/>
    <n v="0"/>
  </r>
  <r>
    <x v="0"/>
    <x v="1"/>
    <s v="Transversal"/>
    <s v="Si"/>
    <n v="40"/>
    <s v="101-14"/>
    <s v="1 - Mejorar el direccionamiento estratégico y la gestión de los procesos frente a la ciudadanía."/>
    <x v="3"/>
    <x v="5"/>
    <n v="43233701"/>
    <x v="3"/>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9647575"/>
    <n v="104789861"/>
    <m/>
    <n v="4857714"/>
    <m/>
    <m/>
    <n v="109647575"/>
    <n v="109647575"/>
    <n v="0"/>
    <n v="0"/>
    <n v="0"/>
  </r>
  <r>
    <x v="0"/>
    <x v="1"/>
    <s v="Transversal"/>
    <s v="Si"/>
    <n v="41"/>
    <s v="101-15"/>
    <s v="1 - Mejorar el direccionamiento estratégico y la gestión de los procesos frente a la ciudadanía."/>
    <x v="3"/>
    <x v="5"/>
    <n v="84111600"/>
    <x v="3"/>
    <s v="Prestación de servicios profesionales y/o de apoyo a la gestión"/>
    <s v="101-15 Prestar los servicios para realizar ejercicio de pre auditoría de certificación y la auditoría de certificación de los sistemas de gestión implementados en la UPME."/>
    <s v="Agosto"/>
    <s v="Agosto"/>
    <s v="Noviembre"/>
    <n v="3"/>
    <s v="Meses"/>
    <s v="Contratación directa - Prestación de servicios profesionales"/>
    <s v="Propios - 20 - Ingresos corrientes"/>
    <n v="27319153"/>
    <n v="27319153"/>
    <s v="No"/>
    <s v="N/A"/>
    <s v="Diego Armando Vanegas Páez"/>
    <s v="Jefe de Oficina Asesora"/>
    <n v="6012220601"/>
    <s v="diego.vanegas@upme.gov.co"/>
    <m/>
    <m/>
    <m/>
    <m/>
    <m/>
    <m/>
    <m/>
    <m/>
    <m/>
    <m/>
    <m/>
    <m/>
    <m/>
    <m/>
    <m/>
    <m/>
    <m/>
    <m/>
    <m/>
    <m/>
    <n v="27319153"/>
    <m/>
    <m/>
    <n v="27319153"/>
    <m/>
    <m/>
    <n v="27319153"/>
    <n v="27319153"/>
    <n v="0"/>
    <n v="0"/>
    <n v="0"/>
  </r>
  <r>
    <x v="0"/>
    <x v="1"/>
    <s v="Transversal"/>
    <s v="Si"/>
    <n v="15"/>
    <s v="101-16"/>
    <s v="1 - Mejorar el direccionamiento estratégico y la gestión de los procesos frente a la ciudadanía."/>
    <x v="3"/>
    <x v="6"/>
    <n v="80111620"/>
    <x v="3"/>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m/>
    <m/>
    <n v="58116667"/>
    <n v="58116667"/>
    <n v="0"/>
    <n v="0"/>
    <n v="0"/>
  </r>
  <r>
    <x v="0"/>
    <x v="1"/>
    <s v="Transversal"/>
    <s v="Si"/>
    <n v="40"/>
    <s v="101-17"/>
    <s v="1 - Mejorar el direccionamiento estratégico y la gestión de los procesos frente a la ciudadanía."/>
    <x v="3"/>
    <x v="6"/>
    <n v="80111620"/>
    <x v="3"/>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m/>
    <n v="9000000"/>
    <n v="547575"/>
    <n v="17647575"/>
    <m/>
    <m/>
    <n v="99547575"/>
    <n v="99547575"/>
    <n v="0"/>
    <n v="0"/>
    <n v="0"/>
  </r>
  <r>
    <x v="0"/>
    <x v="1"/>
    <s v="Transversal"/>
    <s v="Si"/>
    <n v="4"/>
    <s v="101-18"/>
    <s v="1 - Mejorar el direccionamiento estratégico y la gestión de los procesos frente a la ciudadanía."/>
    <x v="3"/>
    <x v="6"/>
    <n v="80111620"/>
    <x v="3"/>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4509"/>
    <n v="30664509"/>
    <s v="No"/>
    <s v="N/A"/>
    <s v="Diego Armando Vanegas Páez"/>
    <s v="Jefe de Oficina Asesora"/>
    <n v="6012220601"/>
    <s v="diego.vanegas@upme.gov.co"/>
    <m/>
    <m/>
    <n v="15145959"/>
    <m/>
    <m/>
    <m/>
    <m/>
    <m/>
    <m/>
    <m/>
    <m/>
    <n v="678167"/>
    <m/>
    <n v="8000000"/>
    <m/>
    <n v="5134459"/>
    <n v="15516667"/>
    <n v="1333333"/>
    <m/>
    <n v="6666667"/>
    <m/>
    <m/>
    <m/>
    <n v="8850000"/>
    <n v="1883"/>
    <n v="1883"/>
    <n v="30664509"/>
    <n v="30664509"/>
    <n v="0"/>
    <n v="0"/>
    <n v="0"/>
  </r>
  <r>
    <x v="0"/>
    <x v="1"/>
    <s v="Transversal"/>
    <s v="Si"/>
    <n v="12"/>
    <s v="101-19"/>
    <s v="2 - Fortalecer la gestión de conocimiento para la planeación minero energética."/>
    <x v="4"/>
    <x v="7"/>
    <s v="80101511;80111501;80111504"/>
    <x v="0"/>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509986"/>
    <n v="192509986"/>
    <s v="No"/>
    <s v="N/A"/>
    <s v="Diego Armando Vanegas Páez"/>
    <s v="Jefe de Oficina Asesora"/>
    <n v="6012220601"/>
    <s v="diego.vanegas@upme.gov.co"/>
    <m/>
    <m/>
    <m/>
    <m/>
    <m/>
    <m/>
    <n v="192000000"/>
    <m/>
    <m/>
    <m/>
    <m/>
    <m/>
    <m/>
    <m/>
    <m/>
    <n v="48000000"/>
    <m/>
    <m/>
    <m/>
    <n v="48127497"/>
    <m/>
    <n v="48127497"/>
    <m/>
    <n v="47745006"/>
    <n v="509986"/>
    <n v="509986"/>
    <n v="192509986"/>
    <n v="192509986"/>
    <n v="0"/>
    <n v="0"/>
    <n v="0"/>
  </r>
  <r>
    <x v="0"/>
    <x v="1"/>
    <s v="Transversal"/>
    <s v="Si"/>
    <n v="15"/>
    <s v="101-20"/>
    <s v="1 - Mejorar el direccionamiento estratégico y la gestión de los procesos frente a la ciudadanía."/>
    <x v="3"/>
    <x v="6"/>
    <n v="80111620"/>
    <x v="3"/>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m/>
    <m/>
    <n v="1228760"/>
    <n v="1228760"/>
    <n v="0"/>
    <n v="0"/>
    <n v="0"/>
  </r>
  <r>
    <x v="0"/>
    <x v="1"/>
    <s v="Transversal"/>
    <s v="Si"/>
    <n v="40"/>
    <s v="101-21"/>
    <s v="1 - Mejorar el direccionamiento estratégico y la gestión de los procesos frente a la ciudadanía."/>
    <x v="3"/>
    <x v="6"/>
    <n v="80111620"/>
    <x v="3"/>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m/>
    <m/>
    <n v="9569050"/>
    <n v="9569050"/>
    <n v="0"/>
    <n v="0"/>
    <n v="0"/>
  </r>
  <r>
    <x v="0"/>
    <x v="1"/>
    <s v="Transversal"/>
    <s v="Si"/>
    <n v="15"/>
    <s v="101-22"/>
    <s v="1 - Mejorar el direccionamiento estratégico y la gestión de los procesos frente a la ciudadanía."/>
    <x v="2"/>
    <x v="4"/>
    <n v="43233501"/>
    <x v="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m/>
    <m/>
    <n v="4351494"/>
    <m/>
    <m/>
    <n v="4351494"/>
    <m/>
    <m/>
    <n v="4351494"/>
    <n v="4351494"/>
    <n v="0"/>
    <n v="0"/>
    <n v="0"/>
  </r>
  <r>
    <x v="0"/>
    <x v="1"/>
    <s v="Transversal"/>
    <s v="Si"/>
    <n v="15"/>
    <s v="101-23"/>
    <s v="1 - Mejorar el direccionamiento estratégico y la gestión de los procesos frente a la ciudadanía."/>
    <x v="3"/>
    <x v="6"/>
    <n v="43233501"/>
    <x v="3"/>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m/>
    <m/>
    <n v="3019398"/>
    <m/>
    <m/>
    <n v="3019398"/>
    <m/>
    <m/>
    <n v="3019398"/>
    <n v="3019398"/>
    <n v="0"/>
    <n v="0"/>
    <n v="0"/>
  </r>
  <r>
    <x v="0"/>
    <x v="1"/>
    <s v="Transversal"/>
    <s v="Si"/>
    <n v="41"/>
    <s v="101-24"/>
    <s v="1 - Mejorar el direccionamiento estratégico y la gestión de los procesos frente a la ciudadanía."/>
    <x v="2"/>
    <x v="4"/>
    <n v="80111620"/>
    <x v="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m/>
    <m/>
    <n v="32000000"/>
    <n v="32000000"/>
    <n v="0"/>
    <n v="0"/>
    <n v="0"/>
  </r>
  <r>
    <x v="0"/>
    <x v="1"/>
    <s v="Transversal"/>
    <s v="Si"/>
    <n v="40"/>
    <s v="101-25"/>
    <s v="1 - Mejorar el direccionamiento estratégico y la gestión de los procesos frente a la ciudadanía."/>
    <x v="3"/>
    <x v="5"/>
    <n v="80111620"/>
    <x v="3"/>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m/>
    <m/>
    <m/>
    <m/>
    <n v="352425"/>
    <n v="352425"/>
    <m/>
    <m/>
    <n v="352425"/>
    <n v="352425"/>
    <n v="0"/>
    <n v="0"/>
    <n v="0"/>
  </r>
  <r>
    <x v="0"/>
    <x v="1"/>
    <s v="Transversal"/>
    <s v="Si"/>
    <n v="41"/>
    <s v="101-26"/>
    <s v="1 - Mejorar el direccionamiento estratégico y la gestión de los procesos frente a la ciudadanía."/>
    <x v="3"/>
    <x v="5"/>
    <n v="80111620"/>
    <x v="3"/>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9474364"/>
    <n v="9474364"/>
    <s v="No"/>
    <s v="N/A"/>
    <s v="Verónica Tabares Muñoz"/>
    <s v="Jefe de Oficina Asesora"/>
    <n v="6012220601"/>
    <s v="veronica.tabares@upme.gov.co"/>
    <m/>
    <m/>
    <m/>
    <m/>
    <m/>
    <m/>
    <m/>
    <m/>
    <m/>
    <m/>
    <m/>
    <m/>
    <m/>
    <m/>
    <m/>
    <m/>
    <n v="9474364"/>
    <m/>
    <m/>
    <m/>
    <m/>
    <m/>
    <m/>
    <n v="9474364"/>
    <m/>
    <m/>
    <n v="9474364"/>
    <n v="9474364"/>
    <n v="0"/>
    <n v="0"/>
    <n v="0"/>
  </r>
  <r>
    <x v="0"/>
    <x v="1"/>
    <s v="Transversal"/>
    <s v="Si"/>
    <n v="41"/>
    <s v="101-27"/>
    <s v="1 - Mejorar el direccionamiento estratégico y la gestión de los procesos frente a la ciudadanía."/>
    <x v="3"/>
    <x v="5"/>
    <n v="80111620"/>
    <x v="3"/>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m/>
    <m/>
    <m/>
    <m/>
    <n v="3500000"/>
    <m/>
    <m/>
    <n v="3500000"/>
    <n v="3500000"/>
    <n v="0"/>
    <n v="0"/>
    <n v="0"/>
  </r>
  <r>
    <x v="0"/>
    <x v="2"/>
    <s v="Fondos"/>
    <s v="Si"/>
    <n v="47"/>
    <s v="180-1"/>
    <s v="1 - Mejorar la capacidad de los interesados en formular proyectos de inversión en el sector energético."/>
    <x v="5"/>
    <x v="8"/>
    <s v="N/A"/>
    <x v="4"/>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27952995"/>
    <n v="27952995"/>
    <s v="No"/>
    <s v="N/A"/>
    <s v="Maximiliano Bueno López"/>
    <s v="Jefe Oficina Gestión de Proyectos de Fondos"/>
    <n v="6012220601"/>
    <s v="maximilianobueno@upme.gov.co"/>
    <m/>
    <m/>
    <n v="1774730"/>
    <n v="1774730"/>
    <m/>
    <m/>
    <n v="704838"/>
    <n v="704838"/>
    <n v="826125"/>
    <n v="826125"/>
    <m/>
    <m/>
    <n v="3211135"/>
    <n v="3211135"/>
    <n v="351429"/>
    <m/>
    <m/>
    <n v="351429"/>
    <n v="3000000"/>
    <n v="3000000"/>
    <n v="7000000"/>
    <n v="7000000"/>
    <n v="7084738"/>
    <n v="7084738"/>
    <n v="4000000"/>
    <n v="4000000"/>
    <n v="27952995"/>
    <n v="27952995"/>
    <n v="0"/>
    <n v="0"/>
    <n v="0"/>
  </r>
  <r>
    <x v="0"/>
    <x v="2"/>
    <s v="Fondos"/>
    <s v="Si"/>
    <n v="47"/>
    <s v="180-2"/>
    <s v="1 - Mejorar la capacidad de los interesados en formular proyectos de inversión en el sector energético."/>
    <x v="5"/>
    <x v="9"/>
    <n v="80141607"/>
    <x v="4"/>
    <s v="Operador logístico"/>
    <s v="180-2 Prestación de los servicios de apoyo logístico para el desarrollo de la estrategia de comunicación y participación con actores nacionales y territoriales, así como para otros espacios interinstitucionales en el marco de la misionalidad de la entidad"/>
    <s v="Septiembre"/>
    <s v="Septiembre"/>
    <s v="Octubre"/>
    <n v="2"/>
    <s v="Meses"/>
    <s v="Contratación directa"/>
    <s v="Propios - 20 - Ingresos corrientes"/>
    <n v="7952995"/>
    <n v="7952995"/>
    <s v="No"/>
    <s v="N/A"/>
    <s v="Maximiliano Bueno López"/>
    <s v="Jefe Oficina Gestión de Proyectos de Fondos"/>
    <n v="6012220601"/>
    <s v="maximiliano.bueno@upme.gov.co"/>
    <m/>
    <m/>
    <m/>
    <m/>
    <m/>
    <m/>
    <m/>
    <m/>
    <m/>
    <m/>
    <m/>
    <m/>
    <m/>
    <m/>
    <m/>
    <m/>
    <m/>
    <m/>
    <n v="7952995"/>
    <m/>
    <m/>
    <n v="7952995"/>
    <m/>
    <m/>
    <m/>
    <m/>
    <n v="7952995"/>
    <n v="7952995"/>
    <n v="0"/>
    <n v="0"/>
    <n v="0"/>
  </r>
  <r>
    <x v="0"/>
    <x v="2"/>
    <s v="Fondos"/>
    <s v="Si"/>
    <s v="75 (30/12/2024)"/>
    <s v="180-3"/>
    <s v="1 - Mejorar la capacidad de los interesados en formular proyectos de inversión en el sector energético."/>
    <x v="6"/>
    <x v="10"/>
    <n v="80111620"/>
    <x v="5"/>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r>
  <r>
    <x v="0"/>
    <x v="2"/>
    <s v="Fondos"/>
    <s v="Si"/>
    <s v="75 (30/12/2024)"/>
    <s v="180-4"/>
    <s v="1 - Mejorar la capacidad de los interesados en formular proyectos de inversión en el sector energético."/>
    <x v="6"/>
    <x v="10"/>
    <n v="80111620"/>
    <x v="5"/>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r>
  <r>
    <x v="0"/>
    <x v="2"/>
    <s v="Fondos"/>
    <s v="Si"/>
    <n v="32"/>
    <s v="180-5"/>
    <s v="1 - Mejorar la capacidad de los interesados en formular proyectos de inversión en el sector energético."/>
    <x v="6"/>
    <x v="10"/>
    <n v="81101516"/>
    <x v="5"/>
    <s v="Consultoría"/>
    <s v="180-5 Contratar consultoría para elaborar un módulo para un curso virtual de socialización y capacitación sobre los fondos de apoyo financiero del MME."/>
    <s v="Abril"/>
    <s v="Abril"/>
    <s v="Julio"/>
    <n v="5"/>
    <s v="Meses"/>
    <s v="Contratación régimen especial (con ofertas)  - Régimen especial"/>
    <s v="Propios - 20 - Ingresos corrientes"/>
    <n v="3051953"/>
    <n v="3051953"/>
    <s v="No"/>
    <s v="N/A"/>
    <s v="Maximiliano Bueno López"/>
    <s v="Jefe Oficina Gestión de Proyectos de Fondos"/>
    <n v="6012220601"/>
    <s v="maximilianobueno@upme.gov.co"/>
    <m/>
    <m/>
    <m/>
    <m/>
    <m/>
    <m/>
    <m/>
    <m/>
    <m/>
    <m/>
    <m/>
    <m/>
    <m/>
    <m/>
    <m/>
    <m/>
    <m/>
    <m/>
    <m/>
    <m/>
    <n v="3051953"/>
    <m/>
    <m/>
    <n v="3051953"/>
    <m/>
    <m/>
    <n v="3051953"/>
    <n v="3051953"/>
    <n v="0"/>
    <n v="0"/>
    <n v="0"/>
  </r>
  <r>
    <x v="0"/>
    <x v="2"/>
    <s v="Fondos"/>
    <s v="Si"/>
    <n v="44"/>
    <s v="180-6"/>
    <s v="1 - Mejorar la capacidad de los interesados en formular proyectos de inversión en el sector energético."/>
    <x v="6"/>
    <x v="11"/>
    <n v="80111620"/>
    <x v="5"/>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12681900"/>
    <n v="12681900"/>
    <s v="No"/>
    <s v="N/A"/>
    <s v="Maximiliano Bueno López"/>
    <s v="Jefe Oficina Gestión de Proyectos de Fondos"/>
    <n v="6012220601"/>
    <s v="maximilianobueno@upme.gov.co"/>
    <m/>
    <m/>
    <m/>
    <m/>
    <m/>
    <m/>
    <m/>
    <m/>
    <m/>
    <m/>
    <m/>
    <m/>
    <m/>
    <m/>
    <m/>
    <m/>
    <m/>
    <m/>
    <n v="12681900"/>
    <m/>
    <m/>
    <n v="4227300"/>
    <m/>
    <n v="8454600"/>
    <m/>
    <m/>
    <n v="12681900"/>
    <n v="12681900"/>
    <n v="0"/>
    <n v="0"/>
    <n v="0"/>
  </r>
  <r>
    <x v="0"/>
    <x v="2"/>
    <s v="Fondos"/>
    <s v="Si"/>
    <n v="28"/>
    <s v="180-7"/>
    <s v="1 - Mejorar la capacidad de los interesados en formular proyectos de inversión en el sector energético."/>
    <x v="6"/>
    <x v="11"/>
    <n v="80111620"/>
    <x v="5"/>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m/>
    <m/>
    <n v="99400400"/>
    <n v="99400400"/>
    <n v="0"/>
    <n v="0"/>
    <n v="0"/>
  </r>
  <r>
    <x v="0"/>
    <x v="2"/>
    <s v="Fondos"/>
    <s v="Si"/>
    <n v="32"/>
    <s v="180-8"/>
    <s v="1 - Mejorar la capacidad de los interesados en formular proyectos de inversión en el sector energético."/>
    <x v="6"/>
    <x v="11"/>
    <n v="80111620"/>
    <x v="5"/>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m/>
    <m/>
    <n v="97115333"/>
    <n v="97115333"/>
    <n v="0"/>
    <n v="0"/>
    <n v="0"/>
  </r>
  <r>
    <x v="0"/>
    <x v="2"/>
    <s v="Fondos"/>
    <s v="Si"/>
    <n v="32"/>
    <s v="180-9"/>
    <s v="1 - Mejorar la capacidad de los interesados en formular proyectos de inversión en el sector energético."/>
    <x v="6"/>
    <x v="11"/>
    <n v="80111620"/>
    <x v="5"/>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m/>
    <m/>
    <n v="62757067"/>
    <n v="62757067"/>
    <n v="0"/>
    <n v="0"/>
    <n v="0"/>
  </r>
  <r>
    <x v="0"/>
    <x v="2"/>
    <s v="Fondos"/>
    <s v="Si"/>
    <n v="28"/>
    <s v="180-10"/>
    <s v="1 - Mejorar la capacidad de los interesados en formular proyectos de inversión en el sector energético."/>
    <x v="6"/>
    <x v="11"/>
    <n v="80111620"/>
    <x v="5"/>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m/>
    <m/>
    <n v="53699067"/>
    <n v="53699067"/>
    <n v="0"/>
    <n v="0"/>
    <n v="0"/>
  </r>
  <r>
    <x v="0"/>
    <x v="2"/>
    <s v="Fondos"/>
    <s v="Si"/>
    <n v="28"/>
    <s v="180-11"/>
    <s v="1 - Mejorar la capacidad de los interesados en formular proyectos de inversión en el sector energético."/>
    <x v="6"/>
    <x v="11"/>
    <n v="80111620"/>
    <x v="5"/>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m/>
    <m/>
    <n v="44668533"/>
    <n v="44668533"/>
    <n v="0"/>
    <n v="0"/>
    <n v="0"/>
  </r>
  <r>
    <x v="0"/>
    <x v="2"/>
    <s v="Fondos"/>
    <s v="Si"/>
    <n v="28"/>
    <s v="180-12"/>
    <s v="1 - Mejorar la capacidad de los interesados en formular proyectos de inversión en el sector energético."/>
    <x v="6"/>
    <x v="11"/>
    <n v="80111620"/>
    <x v="5"/>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m/>
    <m/>
    <n v="40191333"/>
    <n v="40191333"/>
    <n v="0"/>
    <n v="0"/>
    <n v="0"/>
  </r>
  <r>
    <x v="0"/>
    <x v="2"/>
    <s v="Fondos"/>
    <s v="Si"/>
    <n v="28"/>
    <s v="180-13"/>
    <s v="1 - Mejorar la capacidad de los interesados en formular proyectos de inversión en el sector energético."/>
    <x v="6"/>
    <x v="11"/>
    <n v="80111620"/>
    <x v="5"/>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r>
  <r>
    <x v="0"/>
    <x v="2"/>
    <s v="Fondos"/>
    <s v="Si"/>
    <n v="28"/>
    <s v="180-14"/>
    <s v="1 - Mejorar la capacidad de los interesados en formular proyectos de inversión en el sector energético."/>
    <x v="6"/>
    <x v="11"/>
    <n v="80111620"/>
    <x v="5"/>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r>
  <r>
    <x v="0"/>
    <x v="2"/>
    <s v="Fondos"/>
    <s v="Si"/>
    <n v="28"/>
    <s v="180-15"/>
    <s v="1 - Mejorar la capacidad de los interesados en formular proyectos de inversión en el sector energético."/>
    <x v="6"/>
    <x v="11"/>
    <n v="80111620"/>
    <x v="5"/>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m/>
    <m/>
    <n v="36370667"/>
    <n v="36370667"/>
    <n v="0"/>
    <n v="0"/>
    <n v="0"/>
  </r>
  <r>
    <x v="0"/>
    <x v="2"/>
    <s v="Fondos"/>
    <s v="Si"/>
    <n v="28"/>
    <s v="180-16"/>
    <s v="1 - Mejorar la capacidad de los interesados en formular proyectos de inversión en el sector energético."/>
    <x v="6"/>
    <x v="11"/>
    <n v="80111620"/>
    <x v="5"/>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m/>
    <m/>
    <n v="33567733"/>
    <n v="33567733"/>
    <n v="0"/>
    <n v="0"/>
    <n v="0"/>
  </r>
  <r>
    <x v="0"/>
    <x v="2"/>
    <s v="Fondos"/>
    <s v="Si"/>
    <n v="32"/>
    <s v="180-17"/>
    <s v="1 - Mejorar la capacidad de los interesados en formular proyectos de inversión en el sector energético."/>
    <x v="6"/>
    <x v="11"/>
    <n v="80111620"/>
    <x v="5"/>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m/>
    <m/>
    <n v="16966300"/>
    <n v="16966300"/>
    <n v="0"/>
    <n v="0"/>
    <n v="0"/>
  </r>
  <r>
    <x v="0"/>
    <x v="2"/>
    <s v="Fondos"/>
    <s v="Si"/>
    <n v="28"/>
    <s v="180-18"/>
    <s v="1 - Mejorar la capacidad de los interesados en formular proyectos de inversión en el sector energético."/>
    <x v="6"/>
    <x v="11"/>
    <n v="80111620"/>
    <x v="5"/>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m/>
    <m/>
    <n v="25229600"/>
    <n v="25229600"/>
    <n v="0"/>
    <n v="0"/>
    <n v="0"/>
  </r>
  <r>
    <x v="0"/>
    <x v="2"/>
    <s v="Fondos"/>
    <s v="Si"/>
    <n v="24"/>
    <s v="180-19"/>
    <s v="1 - Mejorar la capacidad de los interesados en formular proyectos de inversión en el sector energético."/>
    <x v="6"/>
    <x v="11"/>
    <n v="80111620"/>
    <x v="5"/>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m/>
    <m/>
    <n v="36201325"/>
    <n v="36201325"/>
    <n v="0"/>
    <n v="0"/>
    <n v="0"/>
  </r>
  <r>
    <x v="0"/>
    <x v="2"/>
    <s v="Fondos"/>
    <s v="Si"/>
    <n v="44"/>
    <s v="180-20"/>
    <s v="1 - Mejorar la capacidad de los interesados en formular proyectos de inversión en el sector energético."/>
    <x v="6"/>
    <x v="11"/>
    <s v="N/A"/>
    <x v="5"/>
    <s v="Planta temporal"/>
    <s v="180-20 Gastos de nómina Planta Temporal "/>
    <s v="Abril"/>
    <s v="Abril"/>
    <s v="Julio"/>
    <n v="8"/>
    <s v="Meses"/>
    <s v="Contratación directa - Prestación de servicios profesionales"/>
    <s v="Propios - 20 - Ingresos corrientes"/>
    <n v="301556073"/>
    <n v="301556073"/>
    <s v="No"/>
    <s v="N/A"/>
    <s v="Maximiliano Bueno López"/>
    <s v="Jefe Oficina Gestión de Proyectos de Fondos"/>
    <n v="6012220601"/>
    <s v="maximilianobueno@upme.gov.co"/>
    <m/>
    <m/>
    <m/>
    <m/>
    <m/>
    <m/>
    <m/>
    <m/>
    <m/>
    <m/>
    <m/>
    <m/>
    <m/>
    <m/>
    <m/>
    <m/>
    <m/>
    <m/>
    <m/>
    <m/>
    <n v="301556073"/>
    <n v="74588541"/>
    <m/>
    <n v="226967532"/>
    <m/>
    <m/>
    <n v="301556073"/>
    <n v="301556073"/>
    <n v="0"/>
    <n v="0"/>
    <n v="0"/>
  </r>
  <r>
    <x v="0"/>
    <x v="2"/>
    <s v="Fondos"/>
    <s v="Si"/>
    <n v="32"/>
    <s v="180-21"/>
    <s v="1 - Mejorar la capacidad de los interesados en formular proyectos de inversión en el sector energético."/>
    <x v="6"/>
    <x v="11"/>
    <n v="80131500"/>
    <x v="5"/>
    <s v="Arrendamientos"/>
    <s v="180-21 Alquilar espacios de oficina (coworking) en virtud del proyecto de modernización organizacional para la Unidad de Planeación Minero Energética."/>
    <s v="Abril"/>
    <s v="Abril"/>
    <s v="Julio"/>
    <n v="8"/>
    <s v="Meses"/>
    <s v="Contratación directa - Contratos de arrendamiento o adquisición de inmuebles"/>
    <s v="Propios - 20 - Ingresos corrientes"/>
    <n v="72292500"/>
    <n v="72292500"/>
    <s v="No"/>
    <s v="N/A"/>
    <s v="Maximiliano Bueno López"/>
    <s v="Jefe Oficina Gestión de Proyectos de Fondos"/>
    <n v="6012220601"/>
    <s v="maximilianobueno@upme.gov.co"/>
    <m/>
    <m/>
    <m/>
    <m/>
    <m/>
    <m/>
    <m/>
    <m/>
    <m/>
    <m/>
    <m/>
    <m/>
    <m/>
    <m/>
    <m/>
    <m/>
    <m/>
    <m/>
    <m/>
    <m/>
    <n v="46042500"/>
    <n v="22847500"/>
    <m/>
    <n v="49445000"/>
    <n v="26250000"/>
    <m/>
    <n v="72292500"/>
    <n v="72292500"/>
    <n v="0"/>
    <n v="0"/>
    <n v="0"/>
  </r>
  <r>
    <x v="0"/>
    <x v="2"/>
    <s v="Fondos"/>
    <s v="Si"/>
    <n v="29"/>
    <s v="180-22"/>
    <s v="1 - Mejorar la capacidad de los interesados en formular proyectos de inversión en el sector energético."/>
    <x v="6"/>
    <x v="10"/>
    <n v="80111620"/>
    <x v="5"/>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m/>
    <m/>
    <n v="23585520"/>
    <n v="23585520"/>
    <n v="0"/>
    <n v="0"/>
    <n v="0"/>
  </r>
  <r>
    <x v="0"/>
    <x v="2"/>
    <s v="Fondos"/>
    <s v="Si"/>
    <n v="7"/>
    <s v="180-23"/>
    <s v="1 - Mejorar la capacidad de los interesados en formular proyectos de inversión en el sector energético."/>
    <x v="6"/>
    <x v="10"/>
    <n v="80111620"/>
    <x v="5"/>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m/>
    <m/>
    <n v="3675000"/>
    <n v="3675000"/>
    <n v="0"/>
    <n v="0"/>
    <n v="0"/>
  </r>
  <r>
    <x v="0"/>
    <x v="2"/>
    <s v="Fondos"/>
    <s v="Si"/>
    <n v="29"/>
    <s v="180-24"/>
    <s v="1 - Mejorar la capacidad de los interesados en formular proyectos de inversión en el sector energético."/>
    <x v="6"/>
    <x v="10"/>
    <n v="43233501"/>
    <x v="5"/>
    <s v="Software-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m/>
    <m/>
    <n v="10696777"/>
    <n v="10696777"/>
    <n v="0"/>
    <n v="0"/>
    <n v="0"/>
  </r>
  <r>
    <x v="0"/>
    <x v="2"/>
    <s v="Fondos"/>
    <s v="Si"/>
    <n v="32"/>
    <s v="180-25"/>
    <s v="1 - Mejorar la capacidad de los interesados en formular proyectos de inversión en el sector energético."/>
    <x v="6"/>
    <x v="11"/>
    <n v="80111620"/>
    <x v="5"/>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n v="-1976667"/>
    <n v="3953333"/>
    <n v="1976667"/>
    <n v="5930000"/>
    <m/>
    <n v="5930000"/>
    <m/>
    <n v="13836667"/>
    <m/>
    <m/>
    <n v="29650000"/>
    <n v="29650000"/>
    <n v="0"/>
    <n v="0"/>
    <n v="0"/>
  </r>
  <r>
    <x v="0"/>
    <x v="2"/>
    <s v="Fondos"/>
    <s v="Si"/>
    <n v="32"/>
    <s v="180-26"/>
    <s v="1 - Mejorar la capacidad de los interesados en formular proyectos de inversión en el sector energético."/>
    <x v="6"/>
    <x v="11"/>
    <n v="80111620"/>
    <x v="5"/>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977800"/>
    <n v="23977800"/>
    <s v="No"/>
    <s v="N/A"/>
    <s v="Manuel Peña Suarez"/>
    <s v="Jefe Oficina Gestión de Proyectos de Fondos"/>
    <n v="6012220601"/>
    <s v="manuel.pena@upme.govco"/>
    <m/>
    <m/>
    <m/>
    <m/>
    <m/>
    <m/>
    <m/>
    <m/>
    <m/>
    <m/>
    <m/>
    <m/>
    <n v="23977800"/>
    <m/>
    <m/>
    <n v="3596670"/>
    <n v="-399630"/>
    <n v="3996300"/>
    <n v="399630"/>
    <n v="3996300"/>
    <m/>
    <n v="3996300"/>
    <m/>
    <n v="8392230"/>
    <m/>
    <m/>
    <n v="23977800"/>
    <n v="23977800"/>
    <n v="0"/>
    <n v="0"/>
    <n v="0"/>
  </r>
  <r>
    <x v="0"/>
    <x v="2"/>
    <s v="Fondos"/>
    <s v="Si"/>
    <n v="28"/>
    <s v="180-27"/>
    <s v="1 - Mejorar la capacidad de los interesados en formular proyectos de inversión en el sector energético."/>
    <x v="6"/>
    <x v="11"/>
    <n v="80111620"/>
    <x v="5"/>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34479900"/>
    <n v="34479900"/>
    <s v="No"/>
    <s v="N/A"/>
    <s v="Manuel Peña Suarez"/>
    <s v="Jefe Oficina Gestión de Proyectos de Fondos"/>
    <n v="6012220601"/>
    <s v="manuel.pena@upme.govco"/>
    <m/>
    <m/>
    <m/>
    <m/>
    <m/>
    <m/>
    <m/>
    <m/>
    <m/>
    <m/>
    <m/>
    <m/>
    <n v="31606575"/>
    <m/>
    <m/>
    <n v="574665"/>
    <n v="-2298660"/>
    <n v="5746650"/>
    <n v="5171985"/>
    <n v="5746650"/>
    <m/>
    <n v="5746650"/>
    <m/>
    <n v="16665285"/>
    <m/>
    <m/>
    <n v="34479900"/>
    <n v="34479900"/>
    <n v="0"/>
    <n v="0"/>
    <n v="0"/>
  </r>
  <r>
    <x v="0"/>
    <x v="2"/>
    <s v="Fondos"/>
    <s v="Si"/>
    <n v="32"/>
    <s v="180-28"/>
    <s v="1 - Mejorar la capacidad de los interesados en formular proyectos de inversión en el sector energético."/>
    <x v="6"/>
    <x v="11"/>
    <n v="80111620"/>
    <x v="5"/>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n v="-1976667"/>
    <n v="3953333"/>
    <n v="1976667"/>
    <n v="5930000"/>
    <m/>
    <n v="5930000"/>
    <m/>
    <n v="13836667"/>
    <m/>
    <m/>
    <n v="29650000"/>
    <n v="29650000"/>
    <n v="0"/>
    <n v="0"/>
    <n v="0"/>
  </r>
  <r>
    <x v="0"/>
    <x v="2"/>
    <s v="Fondos"/>
    <s v="Si"/>
    <n v="32"/>
    <s v="180-29"/>
    <s v="1 - Mejorar la capacidad de los interesados en formular proyectos de inversión en el sector energético."/>
    <x v="5"/>
    <x v="9"/>
    <n v="80111620"/>
    <x v="4"/>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8661667"/>
    <m/>
    <n v="-1581334"/>
    <n v="4151000"/>
    <n v="2569667"/>
    <n v="5930000"/>
    <m/>
    <n v="5930000"/>
    <m/>
    <n v="13639000"/>
    <m/>
    <m/>
    <n v="29650000"/>
    <n v="29650000"/>
    <n v="0"/>
    <n v="0"/>
    <n v="0"/>
  </r>
  <r>
    <x v="0"/>
    <x v="2"/>
    <s v="Fondos"/>
    <s v="Si"/>
    <n v="32"/>
    <s v="180-30"/>
    <s v="1 - Mejorar la capacidad de los interesados en formular proyectos de inversión en el sector energético."/>
    <x v="6"/>
    <x v="10"/>
    <n v="80111620"/>
    <x v="5"/>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5080000"/>
    <n v="35080000"/>
    <s v="No"/>
    <s v="N/A"/>
    <s v="Manuel Peña Suarez"/>
    <s v="Jefe Oficina Gestión de Proyectos de Fondos"/>
    <n v="6012220601"/>
    <s v="manuel.pena@upme.govco"/>
    <m/>
    <m/>
    <m/>
    <m/>
    <m/>
    <m/>
    <m/>
    <m/>
    <m/>
    <m/>
    <m/>
    <m/>
    <m/>
    <m/>
    <n v="35080000"/>
    <m/>
    <m/>
    <n v="4677333"/>
    <m/>
    <n v="7016000"/>
    <m/>
    <n v="7016000"/>
    <m/>
    <n v="16370667"/>
    <m/>
    <m/>
    <n v="35080000"/>
    <n v="35080000"/>
    <n v="0"/>
    <n v="0"/>
    <n v="0"/>
  </r>
  <r>
    <x v="0"/>
    <x v="2"/>
    <s v="Fondos"/>
    <s v="Si"/>
    <n v="32"/>
    <s v="180-31"/>
    <s v="1 - Mejorar la capacidad de los interesados en formular proyectos de inversión en el sector energético."/>
    <x v="6"/>
    <x v="10"/>
    <n v="80111620"/>
    <x v="5"/>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24058650"/>
    <n v="24058650"/>
    <s v="No"/>
    <s v="N/A"/>
    <s v="Manuel Peña Suarez"/>
    <s v="Jefe Oficina Gestión de Proyectos de Fondos"/>
    <n v="6012220601"/>
    <s v="manuel.pena@upme.govco"/>
    <m/>
    <m/>
    <m/>
    <m/>
    <m/>
    <m/>
    <m/>
    <m/>
    <m/>
    <m/>
    <m/>
    <m/>
    <m/>
    <m/>
    <m/>
    <m/>
    <n v="16627380"/>
    <m/>
    <n v="7431270"/>
    <n v="2187150"/>
    <m/>
    <n v="4374300"/>
    <m/>
    <n v="17497200"/>
    <m/>
    <m/>
    <n v="24058650"/>
    <n v="24058650"/>
    <n v="0"/>
    <n v="0"/>
    <n v="0"/>
  </r>
  <r>
    <x v="0"/>
    <x v="2"/>
    <s v="Fondos"/>
    <s v="Si"/>
    <n v="32"/>
    <s v="180-32"/>
    <s v="1 - Mejorar la capacidad de los interesados en formular proyectos de inversión en el sector energético."/>
    <x v="6"/>
    <x v="11"/>
    <n v="80111620"/>
    <x v="5"/>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1730000"/>
    <n v="31730000"/>
    <s v="No"/>
    <s v="N/A"/>
    <s v="Manuel Peña Suarez"/>
    <s v="Jefe Oficina Gestión de Proyectos de Fondos"/>
    <n v="6012220601"/>
    <s v="manuel.pena@upme.govco"/>
    <m/>
    <m/>
    <m/>
    <m/>
    <m/>
    <m/>
    <m/>
    <m/>
    <m/>
    <m/>
    <m/>
    <m/>
    <m/>
    <m/>
    <n v="31730000"/>
    <m/>
    <m/>
    <n v="4230666"/>
    <m/>
    <n v="6346000"/>
    <m/>
    <n v="6346000"/>
    <m/>
    <n v="14807334"/>
    <m/>
    <m/>
    <n v="31730000"/>
    <n v="31730000"/>
    <n v="0"/>
    <n v="0"/>
    <n v="0"/>
  </r>
  <r>
    <x v="0"/>
    <x v="2"/>
    <s v="Fondos"/>
    <s v="Si"/>
    <n v="32"/>
    <s v="180-33"/>
    <s v="1 - Mejorar la capacidad de los interesados en formular proyectos de inversión en el sector energético."/>
    <x v="6"/>
    <x v="11"/>
    <n v="80111620"/>
    <x v="5"/>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3953333"/>
    <m/>
    <n v="5930000"/>
    <m/>
    <n v="5930000"/>
    <m/>
    <n v="13836667"/>
    <m/>
    <m/>
    <n v="29650000"/>
    <n v="29650000"/>
    <n v="0"/>
    <n v="0"/>
    <n v="0"/>
  </r>
  <r>
    <x v="0"/>
    <x v="2"/>
    <s v="Fondos"/>
    <s v="Si"/>
    <n v="32"/>
    <s v="180-34"/>
    <s v="1 - Mejorar la capacidad de los interesados en formular proyectos de inversión en el sector energético."/>
    <x v="6"/>
    <x v="11"/>
    <n v="80111620"/>
    <x v="5"/>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32307008"/>
    <n v="32307008"/>
    <s v="No"/>
    <s v="N/A"/>
    <s v="Manuel Peña Suarez"/>
    <s v="Jefe Oficina Gestión de Proyectos de Fondos"/>
    <n v="6012220601"/>
    <s v="manuel.pena@upme.govco"/>
    <m/>
    <m/>
    <m/>
    <m/>
    <m/>
    <m/>
    <m/>
    <m/>
    <m/>
    <m/>
    <m/>
    <m/>
    <m/>
    <m/>
    <n v="27365000"/>
    <m/>
    <n v="-1824333"/>
    <n v="3648667"/>
    <n v="6766341"/>
    <n v="5930000"/>
    <m/>
    <n v="5930000"/>
    <m/>
    <n v="16798341"/>
    <m/>
    <m/>
    <n v="32307008"/>
    <n v="32307008"/>
    <n v="0"/>
    <n v="0"/>
    <n v="0"/>
  </r>
  <r>
    <x v="0"/>
    <x v="2"/>
    <s v="Fondos"/>
    <s v="Si"/>
    <n v="40"/>
    <s v="180-35"/>
    <s v="1 - Mejorar la capacidad de los interesados en formular proyectos de inversión en el sector energético."/>
    <x v="6"/>
    <x v="11"/>
    <n v="80111620"/>
    <x v="5"/>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m/>
    <n v="6000000"/>
    <m/>
    <n v="6000000"/>
    <m/>
    <n v="9000000"/>
    <n v="3000000"/>
    <n v="3000000"/>
    <n v="24000000"/>
    <n v="24000000"/>
    <n v="0"/>
    <n v="0"/>
    <n v="0"/>
  </r>
  <r>
    <x v="0"/>
    <x v="2"/>
    <s v="Fondos"/>
    <s v="Si"/>
    <n v="40"/>
    <s v="180-36"/>
    <s v="1 - Mejorar la capacidad de los interesados en formular proyectos de inversión en el sector energético."/>
    <x v="6"/>
    <x v="11"/>
    <n v="80111620"/>
    <x v="5"/>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m/>
    <n v="6000000"/>
    <m/>
    <n v="6000000"/>
    <m/>
    <n v="9000000"/>
    <n v="3000000"/>
    <n v="3000000"/>
    <n v="24000000"/>
    <n v="24000000"/>
    <n v="0"/>
    <n v="0"/>
    <n v="0"/>
  </r>
  <r>
    <x v="0"/>
    <x v="2"/>
    <s v="Fondos"/>
    <s v="Si"/>
    <n v="44"/>
    <s v="180-37"/>
    <s v="1 - Mejorar la capacidad de los interesados en formular proyectos de inversión en el sector energético."/>
    <x v="6"/>
    <x v="11"/>
    <n v="80111620"/>
    <x v="5"/>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m/>
    <m/>
    <n v="0"/>
    <n v="0"/>
    <n v="0"/>
    <n v="0"/>
    <n v="0"/>
  </r>
  <r>
    <x v="0"/>
    <x v="2"/>
    <s v="Fondos"/>
    <s v="Si"/>
    <n v="44"/>
    <s v="180-38"/>
    <s v="1 - Mejorar la capacidad de los interesados en formular proyectos de inversión en el sector energético."/>
    <x v="5"/>
    <x v="9"/>
    <n v="80111620"/>
    <x v="4"/>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21000000"/>
    <n v="21000000"/>
    <s v="No"/>
    <s v="N/A"/>
    <s v="Manuel Peña Suarez"/>
    <s v="Jefe Oficina Gestión de Proyectos de Fondos"/>
    <n v="6012220601"/>
    <s v="manuel.pena@upme.govco"/>
    <m/>
    <m/>
    <m/>
    <m/>
    <m/>
    <m/>
    <m/>
    <m/>
    <m/>
    <m/>
    <m/>
    <m/>
    <m/>
    <m/>
    <m/>
    <m/>
    <m/>
    <m/>
    <n v="21000000"/>
    <m/>
    <m/>
    <n v="7000000"/>
    <m/>
    <n v="14000000"/>
    <m/>
    <m/>
    <n v="21000000"/>
    <n v="21000000"/>
    <n v="0"/>
    <n v="0"/>
    <n v="0"/>
  </r>
  <r>
    <x v="0"/>
    <x v="2"/>
    <s v="Fondos"/>
    <s v="Si"/>
    <n v="44"/>
    <s v="180-39"/>
    <s v="1 - Mejorar la capacidad de los interesados en formular proyectos de inversión en el sector energético."/>
    <x v="6"/>
    <x v="11"/>
    <n v="80111620"/>
    <x v="5"/>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13141800"/>
    <n v="13141800"/>
    <s v="No"/>
    <s v="N/A"/>
    <s v="Manuel Peña Suarez"/>
    <s v="Jefe Oficina Gestión de Proyectos de Fondos"/>
    <n v="6012220601"/>
    <s v="manuel.pena@upme.govco"/>
    <m/>
    <m/>
    <m/>
    <m/>
    <m/>
    <m/>
    <m/>
    <m/>
    <m/>
    <m/>
    <m/>
    <m/>
    <m/>
    <m/>
    <m/>
    <m/>
    <m/>
    <m/>
    <n v="13141800"/>
    <m/>
    <m/>
    <n v="3285450"/>
    <m/>
    <n v="9856350"/>
    <m/>
    <m/>
    <n v="13141800"/>
    <n v="13141800"/>
    <n v="0"/>
    <n v="0"/>
    <n v="0"/>
  </r>
  <r>
    <x v="0"/>
    <x v="2"/>
    <s v="Fondos"/>
    <s v="Si"/>
    <n v="47"/>
    <s v="180-40"/>
    <s v="1 - Mejorar la capacidad de los interesados en formular proyectos de inversión en el sector energético."/>
    <x v="5"/>
    <x v="8"/>
    <n v="80141607"/>
    <x v="4"/>
    <s v="Operador logístico"/>
    <s v="180-40 Prestación de los servicios de apoyo logístico para el desarrollo de la estrategia de comunicación y participación con actores nacionales y territoriales, así como para otros espacios interinstitucionales en el marco de la misionalidad de la entida"/>
    <s v="Septiembre"/>
    <s v="Septiembre"/>
    <s v="Octubre"/>
    <n v="3"/>
    <s v="Meses"/>
    <s v="Contratación directa - Prestación de servicios profesionales "/>
    <s v="Propios - 20 - Ingresos corrientes"/>
    <n v="22047005"/>
    <n v="22047005"/>
    <s v="No"/>
    <s v="N/A"/>
    <s v="Manuel Peña Suarez"/>
    <s v="Jefe Oficina Gestión de Proyectos de Fondos"/>
    <n v="6012220601"/>
    <s v="manuel.pena@upme.govco"/>
    <m/>
    <m/>
    <m/>
    <m/>
    <m/>
    <m/>
    <m/>
    <m/>
    <m/>
    <m/>
    <m/>
    <m/>
    <m/>
    <m/>
    <m/>
    <m/>
    <m/>
    <m/>
    <n v="22047005"/>
    <m/>
    <m/>
    <n v="22047005"/>
    <m/>
    <m/>
    <m/>
    <m/>
    <n v="22047005"/>
    <n v="22047005"/>
    <n v="0"/>
    <n v="0"/>
    <n v="0"/>
  </r>
  <r>
    <x v="0"/>
    <x v="3"/>
    <s v="TIC"/>
    <s v="Si"/>
    <s v="75 (30/12/2024)"/>
    <s v="130-1"/>
    <s v="1 - Incrementar el desarrollo de los habilitadores transversales de la política de gobierno digital."/>
    <x v="7"/>
    <x v="12"/>
    <n v="80111620"/>
    <x v="6"/>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m/>
    <m/>
    <n v="69300000"/>
    <n v="69300000"/>
    <n v="0"/>
    <n v="0"/>
    <n v="0"/>
  </r>
  <r>
    <x v="0"/>
    <x v="3"/>
    <s v="TIC"/>
    <s v="Si"/>
    <n v="36"/>
    <s v="130-2"/>
    <s v="1 - Incrementar el desarrollo de los habilitadores transversales de la política de gobierno digital."/>
    <x v="7"/>
    <x v="13"/>
    <n v="80111620"/>
    <x v="6"/>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m/>
    <m/>
    <n v="79566667"/>
    <n v="79566667"/>
    <n v="0"/>
    <n v="0"/>
    <n v="0"/>
  </r>
  <r>
    <x v="0"/>
    <x v="3"/>
    <s v="TIC"/>
    <s v="Si"/>
    <s v="75 (30/12/2024)"/>
    <s v="130-3"/>
    <s v="1 - Incrementar el desarrollo de los habilitadores transversales de la política de gobierno digital."/>
    <x v="7"/>
    <x v="13"/>
    <n v="80111620"/>
    <x v="6"/>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m/>
    <m/>
    <n v="56100000"/>
    <n v="56100000"/>
    <n v="0"/>
    <n v="0"/>
    <n v="0"/>
  </r>
  <r>
    <x v="0"/>
    <x v="3"/>
    <s v="TIC"/>
    <s v="Si"/>
    <s v="75 (30/12/2024)"/>
    <s v="130-4"/>
    <s v="1 - Incrementar el desarrollo de los habilitadores transversales de la política de gobierno digital."/>
    <x v="7"/>
    <x v="12"/>
    <n v="80111620"/>
    <x v="6"/>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m/>
    <m/>
    <n v="19943000"/>
    <n v="19943000"/>
    <n v="0"/>
    <n v="0"/>
    <n v="0"/>
  </r>
  <r>
    <x v="0"/>
    <x v="3"/>
    <s v="TIC"/>
    <s v="Si"/>
    <n v="2"/>
    <s v="130-5"/>
    <s v="1 - Incrementar el desarrollo de los habilitadores transversales de la política de gobierno digital."/>
    <x v="7"/>
    <x v="13"/>
    <n v="80111620"/>
    <x v="6"/>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m/>
    <n v="8300000"/>
    <n v="366000"/>
    <n v="8300000"/>
    <m/>
    <n v="5323000"/>
    <m/>
    <m/>
    <n v="63423000"/>
    <n v="63423000"/>
    <n v="0"/>
    <n v="0"/>
    <n v="0"/>
  </r>
  <r>
    <x v="0"/>
    <x v="3"/>
    <s v="TIC"/>
    <s v="Si"/>
    <n v="36"/>
    <s v="130-6"/>
    <s v="2 - Aumentar la capacidad institucional a nivel de arquitectura tecnológica y de sistemas de información."/>
    <x v="8"/>
    <x v="14"/>
    <n v="80111620"/>
    <x v="7"/>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m/>
    <m/>
    <n v="120202500"/>
    <n v="120202500"/>
    <n v="0"/>
    <n v="0"/>
    <n v="0"/>
  </r>
  <r>
    <x v="0"/>
    <x v="3"/>
    <s v="TIC"/>
    <s v="Si"/>
    <n v="2"/>
    <s v="130-7"/>
    <s v="1 - Incrementar el desarrollo de los habilitadores transversales de la política de gobierno digital."/>
    <x v="7"/>
    <x v="13"/>
    <n v="80111620"/>
    <x v="6"/>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m/>
    <m/>
    <n v="28588000"/>
    <n v="28588000"/>
    <n v="0"/>
    <n v="0"/>
    <n v="0"/>
  </r>
  <r>
    <x v="0"/>
    <x v="3"/>
    <s v="TIC"/>
    <s v="Si"/>
    <n v="36"/>
    <s v="130-8"/>
    <s v="1 - Incrementar el desarrollo de los habilitadores transversales de la política de gobierno digital."/>
    <x v="7"/>
    <x v="13"/>
    <n v="80111620"/>
    <x v="6"/>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m/>
    <m/>
    <n v="49695067"/>
    <n v="49695067"/>
    <n v="0"/>
    <n v="0"/>
    <n v="0"/>
  </r>
  <r>
    <x v="0"/>
    <x v="3"/>
    <s v="TIC"/>
    <s v="Si"/>
    <n v="36"/>
    <s v="130-9"/>
    <s v="1 - Incrementar el desarrollo de los habilitadores transversales de la política de gobierno digital."/>
    <x v="7"/>
    <x v="13"/>
    <n v="80111620"/>
    <x v="6"/>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m/>
    <m/>
    <n v="51150000"/>
    <n v="51150000"/>
    <n v="0"/>
    <n v="0"/>
    <n v="0"/>
  </r>
  <r>
    <x v="0"/>
    <x v="3"/>
    <s v="TIC"/>
    <s v="Si"/>
    <n v="36"/>
    <s v="130-10"/>
    <s v="1 - Incrementar el desarrollo de los habilitadores transversales de la política de gobierno digital."/>
    <x v="7"/>
    <x v="13"/>
    <n v="80111620"/>
    <x v="6"/>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m/>
    <m/>
    <n v="90666667"/>
    <n v="90666667"/>
    <n v="0"/>
    <n v="0"/>
    <n v="0"/>
  </r>
  <r>
    <x v="0"/>
    <x v="3"/>
    <s v="TIC"/>
    <s v="Si"/>
    <n v="30"/>
    <s v="130-11"/>
    <s v="3 - Mejorar la implementación del modelo de Gestión de Información Institucional."/>
    <x v="9"/>
    <x v="15"/>
    <n v="80111620"/>
    <x v="8"/>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n v="1892026"/>
    <m/>
    <n v="1892026"/>
    <m/>
    <n v="1892025"/>
    <m/>
    <m/>
    <n v="48076077"/>
    <n v="48076077"/>
    <n v="0"/>
    <n v="0"/>
    <n v="0"/>
  </r>
  <r>
    <x v="0"/>
    <x v="3"/>
    <s v="TIC"/>
    <s v="Si"/>
    <s v="75 (30/12/2024)"/>
    <s v="130-12"/>
    <s v="3 - Mejorar la implementación del modelo de Gestión de Información Institucional."/>
    <x v="9"/>
    <x v="15"/>
    <n v="80111620"/>
    <x v="8"/>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4804000"/>
    <m/>
    <n v="4804000"/>
    <m/>
    <n v="12941208"/>
    <m/>
    <m/>
    <n v="52844000"/>
    <n v="52844000"/>
    <n v="0"/>
    <n v="0"/>
    <n v="0"/>
  </r>
  <r>
    <x v="0"/>
    <x v="3"/>
    <s v="TIC"/>
    <s v="Si"/>
    <n v="2"/>
    <s v="130-13"/>
    <s v="3 - Mejorar la implementación del modelo de Gestión de Información Institucional."/>
    <x v="9"/>
    <x v="15"/>
    <n v="80111620"/>
    <x v="8"/>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m/>
    <m/>
    <n v="7000000"/>
    <n v="7000000"/>
    <n v="0"/>
    <n v="0"/>
    <n v="0"/>
  </r>
  <r>
    <x v="0"/>
    <x v="3"/>
    <s v="TIC"/>
    <s v="Si"/>
    <n v="2"/>
    <s v="130-14"/>
    <s v="2 - Aumentar la capacidad institucional a nivel de arquitectura tecnológica y de sistemas de información."/>
    <x v="8"/>
    <x v="16"/>
    <n v="80111620"/>
    <x v="7"/>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m/>
    <m/>
    <n v="82333784"/>
    <n v="82333784"/>
    <n v="0"/>
    <n v="0"/>
    <n v="0"/>
  </r>
  <r>
    <x v="0"/>
    <x v="3"/>
    <s v="TIC"/>
    <s v="Si"/>
    <n v="36"/>
    <s v="130-15"/>
    <s v="1 - Incrementar el desarrollo de los habilitadores transversales de la política de gobierno digital."/>
    <x v="7"/>
    <x v="13"/>
    <n v="80111620"/>
    <x v="6"/>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m/>
    <m/>
    <n v="85176000"/>
    <n v="85176000"/>
    <n v="0"/>
    <n v="0"/>
    <n v="0"/>
  </r>
  <r>
    <x v="0"/>
    <x v="3"/>
    <s v="TIC"/>
    <s v="Si"/>
    <n v="42"/>
    <s v="130-16"/>
    <s v="1 - Incrementar el desarrollo de los habilitadores transversales de la política de gobierno digital."/>
    <x v="7"/>
    <x v="13"/>
    <n v="80111620"/>
    <x v="6"/>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m/>
    <m/>
    <n v="77000000"/>
    <n v="77000000"/>
    <n v="0"/>
    <n v="0"/>
    <n v="0"/>
  </r>
  <r>
    <x v="0"/>
    <x v="3"/>
    <s v="TIC"/>
    <s v="Si"/>
    <s v="75 (30/12/2024)"/>
    <s v="130-17"/>
    <s v="3 - Mejorar la implementación del modelo de Gestión de Información Institucional."/>
    <x v="9"/>
    <x v="15"/>
    <n v="80111620"/>
    <x v="8"/>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m/>
    <m/>
    <n v="13580131"/>
    <n v="13580131"/>
    <n v="0"/>
    <n v="0"/>
    <n v="0"/>
  </r>
  <r>
    <x v="0"/>
    <x v="3"/>
    <s v="TIC"/>
    <s v="Si"/>
    <s v="75 (30/12/2024)"/>
    <s v="130-18"/>
    <s v="3 - Mejorar la implementación del modelo de Gestión de Información Institucional."/>
    <x v="9"/>
    <x v="15"/>
    <n v="80111620"/>
    <x v="8"/>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m/>
    <m/>
    <n v="13580131"/>
    <n v="13580131"/>
    <n v="0"/>
    <n v="0"/>
    <n v="0"/>
  </r>
  <r>
    <x v="0"/>
    <x v="3"/>
    <s v="TIC"/>
    <s v="Si"/>
    <n v="36"/>
    <s v="130-19"/>
    <s v="1 - Incrementar el desarrollo de los habilitadores transversales de la política de gobierno digital."/>
    <x v="7"/>
    <x v="13"/>
    <n v="80111620"/>
    <x v="6"/>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m/>
    <m/>
    <n v="66800000"/>
    <n v="66800000"/>
    <n v="0"/>
    <n v="0"/>
    <n v="0"/>
  </r>
  <r>
    <x v="0"/>
    <x v="3"/>
    <s v="TIC"/>
    <s v="Si"/>
    <n v="42"/>
    <s v="130-20"/>
    <s v="1 - Incrementar el desarrollo de los habilitadores transversales de la política de gobierno digital."/>
    <x v="7"/>
    <x v="13"/>
    <n v="80111620"/>
    <x v="6"/>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m/>
    <m/>
    <n v="77274000"/>
    <n v="77274000"/>
    <n v="0"/>
    <n v="0"/>
    <n v="0"/>
  </r>
  <r>
    <x v="0"/>
    <x v="3"/>
    <s v="TIC"/>
    <s v="Si"/>
    <n v="42"/>
    <s v="130-21"/>
    <s v="2 - Aumentar la capacidad institucional a nivel de arquitectura tecnológica y de sistemas de información."/>
    <x v="8"/>
    <x v="14"/>
    <n v="80111620"/>
    <x v="7"/>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m/>
    <m/>
    <n v="20374200"/>
    <n v="20374200"/>
    <n v="0"/>
    <n v="0"/>
    <n v="0"/>
  </r>
  <r>
    <x v="0"/>
    <x v="3"/>
    <s v="TIC"/>
    <s v="Si"/>
    <s v="75 (30/12/2024)"/>
    <s v="130-22"/>
    <s v="1 - Incrementar el desarrollo de los habilitadores transversales de la política de gobierno digital."/>
    <x v="7"/>
    <x v="13"/>
    <n v="43233201"/>
    <x v="6"/>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m/>
    <m/>
    <n v="1500000"/>
    <n v="1500000"/>
    <n v="0"/>
    <n v="0"/>
    <n v="0"/>
  </r>
  <r>
    <x v="0"/>
    <x v="3"/>
    <s v="TIC"/>
    <s v="Si"/>
    <n v="42"/>
    <s v="130-23"/>
    <s v="1 - Incrementar el desarrollo de los habilitadores transversales de la política de gobierno digital."/>
    <x v="7"/>
    <x v="13"/>
    <n v="43233203"/>
    <x v="6"/>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m/>
    <m/>
    <n v="20926150"/>
    <n v="20926150"/>
    <n v="0"/>
    <n v="0"/>
    <n v="0"/>
  </r>
  <r>
    <x v="0"/>
    <x v="3"/>
    <s v="TIC"/>
    <s v="Si"/>
    <n v="36"/>
    <s v="130-24"/>
    <s v="2 - Aumentar la capacidad institucional a nivel de arquitectura tecnológica y de sistemas de información."/>
    <x v="8"/>
    <x v="14"/>
    <n v="43232804"/>
    <x v="7"/>
    <s v="Software- Suscripciones"/>
    <s v="130-24 Adquirir la renovación de la suscripción anual del servicio especializado SolarWinds Hybrid Cloud Observability Advanced A250, destinada a la gestión y el monitoreo centralizado de la infraestructura tecnológica de la Entidad, con una capacidad par"/>
    <s v="Octubre"/>
    <s v="Octubre"/>
    <s v="Noviembre"/>
    <n v="12"/>
    <s v="Meses"/>
    <s v="Contratación directa "/>
    <s v="Propios - 20 - Ingresos corrientes"/>
    <n v="66749718"/>
    <n v="66749718"/>
    <s v="No"/>
    <s v="N/A"/>
    <s v="Eric Mauricio Vargas Forero"/>
    <s v="Jefe Oficina de Tecnologias de la Informacion"/>
    <n v="6012220601"/>
    <s v="eric.vargas@upme.gov.co"/>
    <m/>
    <m/>
    <m/>
    <m/>
    <m/>
    <m/>
    <m/>
    <m/>
    <m/>
    <m/>
    <m/>
    <m/>
    <m/>
    <m/>
    <m/>
    <m/>
    <m/>
    <m/>
    <n v="66749718"/>
    <m/>
    <m/>
    <m/>
    <m/>
    <n v="66749718"/>
    <m/>
    <m/>
    <n v="66749718"/>
    <n v="66749718"/>
    <n v="0"/>
    <n v="0"/>
    <n v="0"/>
  </r>
  <r>
    <x v="0"/>
    <x v="3"/>
    <s v="TIC"/>
    <s v="Si"/>
    <n v="16"/>
    <s v="130-25"/>
    <s v="2 - Aumentar la capacidad institucional a nivel de arquitectura tecnológica y de sistemas de información."/>
    <x v="8"/>
    <x v="14"/>
    <n v="43233204"/>
    <x v="7"/>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m/>
    <m/>
    <n v="137493373"/>
    <n v="137493373"/>
    <n v="0"/>
    <n v="0"/>
    <n v="0"/>
  </r>
  <r>
    <x v="0"/>
    <x v="3"/>
    <s v="TIC"/>
    <s v="Si"/>
    <s v="75 (30/12/2024)"/>
    <s v="130-26"/>
    <s v="2 - Aumentar la capacidad institucional a nivel de arquitectura tecnológica y de sistemas de información."/>
    <x v="8"/>
    <x v="14"/>
    <n v="43231513"/>
    <x v="7"/>
    <s v="Software - Licencias"/>
    <s v="130-26 Renovar el licencimiento y soporte de solución de backup."/>
    <s v="Septiembre"/>
    <s v="Octubre"/>
    <s v="Noviembre"/>
    <n v="12"/>
    <s v="Meses"/>
    <s v="Contratación directa "/>
    <s v="Propios - 20 - Ingresos corrientes"/>
    <n v="111405278"/>
    <n v="111405278"/>
    <s v="No"/>
    <s v="N/A"/>
    <s v="Eric Mauricio Vargas Forero"/>
    <s v="Jefe Oficina de Tecnologias de la Informacion"/>
    <n v="6012220601"/>
    <s v="eric.vargas@upme.gov.co"/>
    <m/>
    <m/>
    <m/>
    <m/>
    <m/>
    <m/>
    <m/>
    <m/>
    <m/>
    <m/>
    <m/>
    <m/>
    <m/>
    <m/>
    <m/>
    <m/>
    <m/>
    <m/>
    <m/>
    <m/>
    <n v="111405278"/>
    <m/>
    <m/>
    <n v="111405278"/>
    <m/>
    <m/>
    <n v="111405278"/>
    <n v="111405278"/>
    <n v="0"/>
    <n v="0"/>
    <n v="0"/>
  </r>
  <r>
    <x v="0"/>
    <x v="3"/>
    <s v="TIC"/>
    <s v="Si"/>
    <n v="42"/>
    <s v="130-27"/>
    <s v="2 - Aumentar la capacidad institucional a nivel de arquitectura tecnológica y de sistemas de información."/>
    <x v="8"/>
    <x v="14"/>
    <n v="81112003"/>
    <x v="7"/>
    <s v="Software- Nube pública o privada"/>
    <s v="130-27 Adquirir el servicio de nube para Backup y DRP                                                "/>
    <s v="Septiembre"/>
    <s v="Octubre"/>
    <s v="Octubre"/>
    <n v="12"/>
    <s v="Meses"/>
    <s v="Seléccion abreviada - acuerdo marco"/>
    <s v="Propios - 20 - Ingresos corrientes"/>
    <n v="142354792"/>
    <n v="142354792"/>
    <s v="No"/>
    <s v="N/A"/>
    <s v="Eric Mauricio Vargas Forero"/>
    <s v="Jefe Oficina de Tecnologias de la Informacion"/>
    <n v="6012220601"/>
    <s v="eric.vargas@upme.gov.co"/>
    <m/>
    <m/>
    <m/>
    <m/>
    <m/>
    <m/>
    <m/>
    <m/>
    <m/>
    <m/>
    <m/>
    <m/>
    <m/>
    <m/>
    <m/>
    <m/>
    <m/>
    <m/>
    <n v="142354792"/>
    <m/>
    <m/>
    <m/>
    <m/>
    <n v="142354792"/>
    <m/>
    <m/>
    <n v="142354792"/>
    <n v="142354792"/>
    <n v="0"/>
    <n v="0"/>
    <n v="0"/>
  </r>
  <r>
    <x v="0"/>
    <x v="3"/>
    <s v="TIC"/>
    <s v="Si"/>
    <n v="2"/>
    <s v="130-28"/>
    <s v="2 - Aumentar la capacidad institucional a nivel de arquitectura tecnológica y de sistemas de información."/>
    <x v="8"/>
    <x v="16"/>
    <n v="81112210"/>
    <x v="7"/>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m/>
    <m/>
    <n v="72620659"/>
    <n v="72620659"/>
    <n v="0"/>
    <n v="0"/>
    <n v="0"/>
  </r>
  <r>
    <x v="0"/>
    <x v="3"/>
    <s v="TIC"/>
    <s v="Si"/>
    <n v="36"/>
    <s v="130-29"/>
    <s v="2 - Aumentar la capacidad institucional a nivel de arquitectura tecnológica y de sistemas de información."/>
    <x v="8"/>
    <x v="14"/>
    <n v="43233600"/>
    <x v="7"/>
    <s v="Software-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Agosto"/>
    <n v="12"/>
    <s v="Meses"/>
    <s v="Contratación directa "/>
    <s v="Propios - 20 - Ingresos corrientes"/>
    <n v="210000000"/>
    <n v="210000000"/>
    <s v="No"/>
    <s v="N/A"/>
    <s v="Eric Mauricio Vargas Forero"/>
    <s v="Jefe Oficina de Tecnologias de la Informacion"/>
    <n v="6012220601"/>
    <s v="eric.vargas@upme.gov.co"/>
    <m/>
    <m/>
    <m/>
    <m/>
    <m/>
    <m/>
    <m/>
    <m/>
    <m/>
    <m/>
    <m/>
    <m/>
    <m/>
    <m/>
    <m/>
    <m/>
    <m/>
    <m/>
    <n v="210000000"/>
    <m/>
    <m/>
    <m/>
    <m/>
    <n v="210000000"/>
    <m/>
    <m/>
    <n v="210000000"/>
    <n v="210000000"/>
    <n v="0"/>
    <n v="0"/>
    <n v="0"/>
  </r>
  <r>
    <x v="0"/>
    <x v="3"/>
    <s v="TIC"/>
    <s v="Si"/>
    <n v="42"/>
    <s v="130-30"/>
    <s v="2 - Aumentar la capacidad institucional a nivel de arquitectura tecnológica y de sistemas de información."/>
    <x v="8"/>
    <x v="14"/>
    <n v="43233501"/>
    <x v="7"/>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m/>
    <m/>
    <n v="443611162"/>
    <n v="443611162"/>
    <n v="0"/>
    <n v="0"/>
    <n v="0"/>
  </r>
  <r>
    <x v="0"/>
    <x v="3"/>
    <s v="TIC"/>
    <s v="Si"/>
    <s v="75 (30/12/2024)"/>
    <s v="130-31"/>
    <s v="2 - Aumentar la capacidad institucional a nivel de arquitectura tecnológica y de sistemas de información."/>
    <x v="8"/>
    <x v="14"/>
    <n v="43231513"/>
    <x v="7"/>
    <s v="Software - Licencias"/>
    <s v="130-31 Adquirir el canal de backup junto con la renovacion del segmento de prefijo IPV6 ante LACNIC."/>
    <s v="Febrero"/>
    <s v="Marzo"/>
    <s v="Abril"/>
    <n v="12"/>
    <s v="Meses"/>
    <s v="Contratación directa "/>
    <s v="Propios - 20 - Ingresos corrientes"/>
    <n v="15000000"/>
    <n v="15000000"/>
    <s v="No"/>
    <s v="N/A"/>
    <s v="Eric Mauricio Vargas Forero"/>
    <s v="Jefe Oficina de Tecnologias de la Informacion"/>
    <n v="6012220601"/>
    <s v="eric.vargas@upme.gov.co"/>
    <m/>
    <m/>
    <m/>
    <m/>
    <m/>
    <m/>
    <m/>
    <m/>
    <m/>
    <m/>
    <m/>
    <m/>
    <m/>
    <m/>
    <m/>
    <m/>
    <m/>
    <m/>
    <m/>
    <m/>
    <n v="15000000"/>
    <m/>
    <m/>
    <n v="15000000"/>
    <m/>
    <m/>
    <n v="15000000"/>
    <n v="15000000"/>
    <n v="0"/>
    <n v="0"/>
    <n v="0"/>
  </r>
  <r>
    <x v="0"/>
    <x v="3"/>
    <s v="TIC"/>
    <s v="Si"/>
    <n v="32"/>
    <s v="130-32"/>
    <s v="2 - Aumentar la capacidad institucional a nivel de arquitectura tecnológica y de sistemas de información."/>
    <x v="8"/>
    <x v="14"/>
    <n v="43232605"/>
    <x v="7"/>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m/>
    <m/>
    <n v="145537494"/>
    <n v="145537494"/>
    <n v="0"/>
    <n v="0"/>
    <n v="0"/>
  </r>
  <r>
    <x v="0"/>
    <x v="3"/>
    <s v="TIC"/>
    <s v="Si"/>
    <s v="75 (30/12/2024)"/>
    <s v="130-33"/>
    <s v="2 - Aumentar la capacidad institucional a nivel de arquitectura tecnológica y de sistemas de información."/>
    <x v="8"/>
    <x v="16"/>
    <n v="43232201"/>
    <x v="7"/>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m/>
    <m/>
    <n v="423254289"/>
    <n v="423254289"/>
    <n v="0"/>
    <n v="0"/>
    <n v="0"/>
  </r>
  <r>
    <x v="0"/>
    <x v="3"/>
    <s v="TIC"/>
    <s v="Si"/>
    <s v="75 (30/12/2024)"/>
    <s v="130-34"/>
    <s v="2 - Aumentar la capacidad institucional a nivel de arquitectura tecnológica y de sistemas de información."/>
    <x v="8"/>
    <x v="14"/>
    <n v="43232201"/>
    <x v="7"/>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m/>
    <m/>
    <n v="52939461"/>
    <n v="52939461"/>
    <n v="0"/>
    <n v="0"/>
    <n v="0"/>
  </r>
  <r>
    <x v="0"/>
    <x v="3"/>
    <s v="TIC"/>
    <s v="Si"/>
    <n v="30"/>
    <s v="130-35"/>
    <s v="2 - Aumentar la capacidad institucional a nivel de arquitectura tecnológica y de sistemas de información."/>
    <x v="8"/>
    <x v="14"/>
    <n v="43231513"/>
    <x v="7"/>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m/>
    <m/>
    <n v="44985024"/>
    <n v="44985024"/>
    <n v="0"/>
    <n v="0"/>
    <n v="0"/>
  </r>
  <r>
    <x v="0"/>
    <x v="3"/>
    <s v="TIC"/>
    <s v="Si"/>
    <n v="42"/>
    <s v="130-36"/>
    <s v="2 - Aumentar la capacidad institucional a nivel de arquitectura tecnológica y de sistemas de información."/>
    <x v="8"/>
    <x v="14"/>
    <n v="80111620"/>
    <x v="7"/>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8000000"/>
    <n v="28000000"/>
    <s v="No"/>
    <s v="N/A"/>
    <s v="Eric Mauricio Vargas Forero"/>
    <s v="Jefe Oficina de Tecnologias de la Informacion"/>
    <n v="6012220601"/>
    <s v="eric.vargas@upme.gov.co"/>
    <m/>
    <m/>
    <m/>
    <m/>
    <m/>
    <m/>
    <m/>
    <m/>
    <m/>
    <m/>
    <m/>
    <m/>
    <m/>
    <m/>
    <m/>
    <m/>
    <n v="25600000"/>
    <m/>
    <m/>
    <n v="4000000"/>
    <m/>
    <n v="8000000"/>
    <m/>
    <n v="13600000"/>
    <n v="2400000"/>
    <n v="2400000"/>
    <n v="28000000"/>
    <n v="28000000"/>
    <n v="0"/>
    <n v="0"/>
    <n v="0"/>
  </r>
  <r>
    <x v="0"/>
    <x v="3"/>
    <s v="TIC"/>
    <s v="Si"/>
    <n v="36"/>
    <s v="130-37"/>
    <s v="1 - Incrementar el desarrollo de los habilitadores transversales de la política de gobierno digital."/>
    <x v="7"/>
    <x v="13"/>
    <n v="80111620"/>
    <x v="6"/>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m/>
    <m/>
    <n v="8764000"/>
    <m/>
    <m/>
    <m/>
    <m/>
    <n v="8764000"/>
    <n v="8764000"/>
    <n v="0"/>
    <n v="0"/>
    <n v="0"/>
  </r>
  <r>
    <x v="0"/>
    <x v="3"/>
    <s v="TIC"/>
    <s v="Si"/>
    <n v="36"/>
    <s v="130-38"/>
    <s v="2 - Aumentar la capacidad institucional a nivel de arquitectura tecnológica y de sistemas de información."/>
    <x v="8"/>
    <x v="14"/>
    <s v="43233200;81111800;81111801;81112208"/>
    <x v="7"/>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n v="162075042"/>
    <m/>
    <m/>
    <m/>
    <m/>
    <n v="162075042"/>
    <m/>
    <m/>
    <n v="162075042"/>
    <n v="162075042"/>
    <n v="0"/>
    <n v="0"/>
    <n v="0"/>
  </r>
  <r>
    <x v="0"/>
    <x v="3"/>
    <s v="TIC"/>
    <s v="Si"/>
    <s v="75 (30/12/2024)"/>
    <s v="130-39"/>
    <s v="2 - Aumentar la capacidad institucional a nivel de arquitectura tecnológica y de sistemas de información."/>
    <x v="8"/>
    <x v="16"/>
    <s v="43233200;81111800;81111801;81112208"/>
    <x v="7"/>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n v="4620000"/>
    <m/>
    <m/>
    <m/>
    <m/>
    <n v="4620000"/>
    <m/>
    <m/>
    <n v="4620000"/>
    <n v="4620000"/>
    <n v="0"/>
    <n v="0"/>
    <n v="0"/>
  </r>
  <r>
    <x v="0"/>
    <x v="3"/>
    <s v="TIC"/>
    <s v="Si"/>
    <n v="30"/>
    <s v="130-40"/>
    <s v="2 - Aumentar la capacidad institucional a nivel de arquitectura tecnológica y de sistemas de información."/>
    <x v="8"/>
    <x v="14"/>
    <s v="43222501, 43222503, 43222504, 43222609, 43233205"/>
    <x v="7"/>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m/>
    <m/>
    <m/>
    <m/>
    <n v="199832164"/>
    <m/>
    <m/>
    <n v="199832164"/>
    <n v="199832164"/>
    <n v="0"/>
    <n v="0"/>
    <n v="0"/>
  </r>
  <r>
    <x v="0"/>
    <x v="3"/>
    <s v="TIC"/>
    <s v="Si"/>
    <n v="30"/>
    <s v="130-41"/>
    <s v="2 - Aumentar la capacidad institucional a nivel de arquitectura tecnológica y de sistemas de información."/>
    <x v="8"/>
    <x v="14"/>
    <s v="43231507;43232103;43232304;81112200;81112100"/>
    <x v="7"/>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m/>
    <m/>
    <n v="1127972"/>
    <n v="1127972"/>
    <n v="0"/>
    <n v="0"/>
    <n v="0"/>
  </r>
  <r>
    <x v="0"/>
    <x v="3"/>
    <s v="TIC"/>
    <s v="Si"/>
    <n v="15"/>
    <s v="130-42"/>
    <s v="3 - Mejorar la implementación del modelo de Gestión de Información Institucional."/>
    <x v="9"/>
    <x v="15"/>
    <n v="80111620"/>
    <x v="8"/>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m/>
    <m/>
    <n v="1292550"/>
    <n v="1292550"/>
    <n v="0"/>
    <n v="0"/>
    <n v="0"/>
  </r>
  <r>
    <x v="0"/>
    <x v="3"/>
    <s v="TIC"/>
    <s v="Si"/>
    <n v="9"/>
    <s v="130-43"/>
    <s v="2 - Aumentar la capacidad institucional a nivel de arquitectura tecnológica y de sistemas de información."/>
    <x v="8"/>
    <x v="14"/>
    <n v="43222501"/>
    <x v="7"/>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m/>
    <m/>
    <m/>
    <m/>
    <m/>
    <m/>
    <n v="49.64"/>
    <m/>
    <m/>
    <n v="71490206"/>
    <n v="71490206"/>
    <n v="0"/>
    <n v="0"/>
    <n v="0"/>
  </r>
  <r>
    <x v="0"/>
    <x v="3"/>
    <s v="TIC"/>
    <s v="Si"/>
    <n v="30"/>
    <s v="130-44"/>
    <s v="3 - Mejorar la implementación del modelo de Gestión de Información Institucional."/>
    <x v="9"/>
    <x v="15"/>
    <n v="43222501"/>
    <x v="8"/>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m/>
    <m/>
    <n v="128124266"/>
    <n v="128124266"/>
    <n v="0"/>
    <n v="0"/>
    <n v="0"/>
  </r>
  <r>
    <x v="0"/>
    <x v="3"/>
    <s v="TIC"/>
    <s v="Si"/>
    <n v="12"/>
    <s v="130-45"/>
    <s v="3 - Mejorar la implementación del modelo de Gestión de Información Institucional."/>
    <x v="9"/>
    <x v="17"/>
    <s v="43231507;43232103;43232304;81112200;81112100"/>
    <x v="8"/>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m/>
    <m/>
    <n v="3400000"/>
    <n v="3400000"/>
    <n v="0"/>
    <n v="0"/>
    <n v="0"/>
  </r>
  <r>
    <x v="0"/>
    <x v="3"/>
    <s v="TIC"/>
    <s v="Si"/>
    <n v="16"/>
    <s v="130-46"/>
    <s v="2 - Aumentar la capacidad institucional a nivel de arquitectura tecnológica y de sistemas de informaciòn"/>
    <x v="8"/>
    <x v="14"/>
    <n v="43231513"/>
    <x v="7"/>
    <s v="Software - Licencias"/>
    <s v="130-46 Adquirir el canal de backup junto con la renovacion del segmento de prefijo IPV6 ante LACNIC."/>
    <s v="Febrero"/>
    <s v="Marzo"/>
    <s v="Abril"/>
    <n v="12"/>
    <s v="Meses"/>
    <s v="Contratación directa "/>
    <s v="Propios - 20 - Ingresos corrientes"/>
    <n v="20000000"/>
    <n v="20000000"/>
    <s v="No"/>
    <s v="N/A"/>
    <s v="Eric Mauricio Vargas Forero"/>
    <s v="Jefe Oficina de Tecnologias de la Informacion"/>
    <n v="6012220601"/>
    <s v="eric.vargas@upme.gov.co"/>
    <m/>
    <m/>
    <m/>
    <m/>
    <m/>
    <m/>
    <m/>
    <m/>
    <m/>
    <m/>
    <m/>
    <m/>
    <m/>
    <m/>
    <m/>
    <m/>
    <m/>
    <m/>
    <m/>
    <m/>
    <n v="20000000"/>
    <m/>
    <m/>
    <n v="20000000"/>
    <m/>
    <m/>
    <n v="20000000"/>
    <n v="20000000"/>
    <n v="0"/>
    <n v="0"/>
    <n v="0"/>
  </r>
  <r>
    <x v="0"/>
    <x v="3"/>
    <s v="TIC"/>
    <s v="Si"/>
    <n v="32"/>
    <s v="130-47"/>
    <s v="1 - Incrementar el desarrollo de los habilitadores transversales de la política de gobierno digital"/>
    <x v="7"/>
    <x v="13"/>
    <n v="80111620"/>
    <x v="6"/>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m/>
    <m/>
    <n v="17488000"/>
    <n v="17488000"/>
    <n v="0"/>
    <n v="0"/>
    <n v="0"/>
  </r>
  <r>
    <x v="0"/>
    <x v="3"/>
    <s v="TIC"/>
    <s v="Si"/>
    <n v="3"/>
    <s v="130-48"/>
    <s v="2 - Aumentar la capacidad institucional a nivel de arquitectura tecnológica y de sistemas de informaciòn"/>
    <x v="8"/>
    <x v="14"/>
    <n v="81111811"/>
    <x v="7"/>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m/>
    <m/>
    <m/>
    <m/>
    <n v="16671529"/>
    <m/>
    <m/>
    <n v="25259892"/>
    <n v="25259892"/>
    <n v="0"/>
    <n v="0"/>
    <n v="0"/>
  </r>
  <r>
    <x v="0"/>
    <x v="3"/>
    <s v="TIC"/>
    <s v="Si"/>
    <n v="32"/>
    <s v="130-49"/>
    <s v="3 - Mejorar la implementación del modelo de Gestión de Información Institucional."/>
    <x v="9"/>
    <x v="15"/>
    <n v="43232804"/>
    <x v="8"/>
    <s v="Software - Suscripciones"/>
    <s v="130-49 Adquirir la renovación de la suscripción anual del servicio especializado SolarWinds Hybrid Cloud Observability Advanced A250, destinada a la gestión y el monitoreo centralizado de la infraestructura tecnológica de la Entidad, con una capacidad par"/>
    <s v="Octubre"/>
    <s v="Noviembre"/>
    <s v="Noviembre"/>
    <n v="12"/>
    <s v="Meses"/>
    <s v="Contratación directa "/>
    <s v="Propios - 20 - Ingresos corrientes"/>
    <n v="32093394"/>
    <n v="32093394"/>
    <s v="No"/>
    <s v="N/A"/>
    <s v="Eric Mauricio Vargas Forero"/>
    <s v="Jefe Oficina de Tecnologias de la Informacion"/>
    <n v="6012220601"/>
    <s v="eric.vargas@upme.gov.co"/>
    <m/>
    <m/>
    <m/>
    <m/>
    <m/>
    <m/>
    <m/>
    <m/>
    <m/>
    <m/>
    <m/>
    <m/>
    <m/>
    <m/>
    <m/>
    <m/>
    <m/>
    <m/>
    <m/>
    <m/>
    <n v="32093394"/>
    <m/>
    <m/>
    <n v="32093394"/>
    <m/>
    <m/>
    <n v="32093394"/>
    <n v="32093394"/>
    <n v="0"/>
    <n v="0"/>
    <n v="0"/>
  </r>
  <r>
    <x v="0"/>
    <x v="3"/>
    <s v="TIC"/>
    <s v="Si"/>
    <n v="32"/>
    <s v="130-50"/>
    <s v="2 - Aumentar la capacidad institucional a nivel de arquitectura tecnológica y de sistemas de informaciòn"/>
    <x v="8"/>
    <x v="14"/>
    <n v="80111620"/>
    <x v="7"/>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m/>
    <m/>
    <n v="11707450"/>
    <n v="11707450"/>
    <n v="0"/>
    <n v="0"/>
    <n v="0"/>
  </r>
  <r>
    <x v="0"/>
    <x v="3"/>
    <s v="TIC"/>
    <s v="Si"/>
    <n v="30"/>
    <s v="130-51"/>
    <s v="2 - Aumentar la capacidad institucional a nivel de arquitectura tecnológica y de sistemas de informaciòn"/>
    <x v="8"/>
    <x v="14"/>
    <n v="80111620"/>
    <x v="7"/>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6000000"/>
    <m/>
    <n v="5923923"/>
    <m/>
    <m/>
    <n v="17923923"/>
    <n v="17923923"/>
    <n v="0"/>
    <n v="0"/>
    <n v="0"/>
  </r>
  <r>
    <x v="0"/>
    <x v="3"/>
    <s v="TIC"/>
    <s v="Si"/>
    <n v="30"/>
    <s v="130-52"/>
    <s v="3 - Mejorar la implementación del modelo de Gestión de Información Institucional."/>
    <x v="9"/>
    <x v="15"/>
    <n v="81112003"/>
    <x v="8"/>
    <s v="Software - Nube pública o privada"/>
    <s v="130-52 Adquirir el servicio de nube para Backup y DRP"/>
    <s v="Septiembre"/>
    <s v="Octubre"/>
    <s v="Octubre"/>
    <n v="12"/>
    <s v="Meses"/>
    <s v="Seléccion abreviada - acuerdo marco"/>
    <s v="Propios - 20 - Ingresos corrientes"/>
    <n v="18309451"/>
    <n v="18309451"/>
    <s v="No"/>
    <s v="N/A"/>
    <s v="Eric Mauricio Vargas Forero"/>
    <s v="Jefe Oficina de Tecnologias de la Informacion"/>
    <n v="6012220601"/>
    <s v="eric.vargas@upme.gov.co"/>
    <m/>
    <m/>
    <m/>
    <m/>
    <m/>
    <m/>
    <m/>
    <m/>
    <m/>
    <m/>
    <m/>
    <m/>
    <m/>
    <m/>
    <m/>
    <m/>
    <m/>
    <m/>
    <n v="18309451"/>
    <m/>
    <m/>
    <m/>
    <m/>
    <n v="18309451"/>
    <m/>
    <m/>
    <n v="18309451"/>
    <n v="18309451"/>
    <n v="0"/>
    <n v="0"/>
    <n v="0"/>
  </r>
  <r>
    <x v="0"/>
    <x v="3"/>
    <s v="TIC"/>
    <s v="Si"/>
    <n v="32"/>
    <s v="130-53"/>
    <s v="2 - Aumentar la capacidad institucional a nivel de arquitectura tecnológica y de sistemas de informaciòn"/>
    <x v="8"/>
    <x v="14"/>
    <n v="80111620"/>
    <x v="7"/>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2186000"/>
    <n v="2186000"/>
    <s v="No"/>
    <s v="N/A"/>
    <s v="Eric Mauricio Vargas Forero"/>
    <s v="Jefe Oficina de Tecnologias de la Informacion"/>
    <n v="6012220601"/>
    <s v="eric.vargas@upme.gov.co"/>
    <m/>
    <m/>
    <m/>
    <m/>
    <m/>
    <m/>
    <m/>
    <m/>
    <m/>
    <m/>
    <m/>
    <m/>
    <m/>
    <m/>
    <n v="2186000"/>
    <m/>
    <n v="-437200"/>
    <n v="1748800"/>
    <m/>
    <m/>
    <m/>
    <m/>
    <m/>
    <m/>
    <n v="437200"/>
    <n v="437200"/>
    <n v="2186000"/>
    <n v="2186000"/>
    <n v="0"/>
    <n v="0"/>
    <n v="0"/>
  </r>
  <r>
    <x v="0"/>
    <x v="3"/>
    <s v="TIC"/>
    <s v="Si"/>
    <n v="36"/>
    <s v="130-54"/>
    <s v="2 - Aumentar la capacidad institucional a nivel de arquitectura tecnológica y de sistemas de informaciòn"/>
    <x v="8"/>
    <x v="14"/>
    <n v="80111620"/>
    <x v="7"/>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16000000"/>
    <n v="16000000"/>
    <s v="No"/>
    <s v="N/A"/>
    <s v="Eric Mauricio Vargas Forero"/>
    <s v="Jefe Oficina de Tecnologias de la Informacion"/>
    <n v="6012220601"/>
    <s v="eric.vargas@upme.gov.co"/>
    <m/>
    <m/>
    <m/>
    <m/>
    <m/>
    <m/>
    <m/>
    <m/>
    <m/>
    <m/>
    <m/>
    <m/>
    <m/>
    <m/>
    <m/>
    <m/>
    <m/>
    <m/>
    <m/>
    <m/>
    <m/>
    <m/>
    <m/>
    <m/>
    <n v="16000000"/>
    <n v="16000000"/>
    <n v="16000000"/>
    <n v="16000000"/>
    <n v="0"/>
    <n v="0"/>
    <n v="0"/>
  </r>
  <r>
    <x v="0"/>
    <x v="3"/>
    <s v="TIC"/>
    <s v="Si"/>
    <n v="42"/>
    <s v="130-55"/>
    <s v="2 - Aumentar la capacidad institucional a nivel de arquitectura tecnológica y de sistemas de informaciòn"/>
    <x v="8"/>
    <x v="14"/>
    <n v="81112210"/>
    <x v="7"/>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m/>
    <m/>
    <n v="20000000"/>
    <n v="20000000"/>
    <n v="0"/>
    <n v="0"/>
    <n v="0"/>
  </r>
  <r>
    <x v="0"/>
    <x v="3"/>
    <s v="TIC"/>
    <s v="Si"/>
    <n v="42"/>
    <s v="130-56"/>
    <s v="2 - Aumentar la capacidad institucional a nivel de arquitectura tecnológica y de sistemas de informaciòn"/>
    <x v="8"/>
    <x v="14"/>
    <n v="80111620"/>
    <x v="7"/>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3141800"/>
    <n v="13141800"/>
    <s v="No"/>
    <s v="N/A"/>
    <s v="Eric Mauricio Vargas Forero"/>
    <s v="Jefe Oficina de Tecnologias de la Informacion"/>
    <n v="6012220601"/>
    <s v="eric.vargas@upme.gov.co"/>
    <m/>
    <m/>
    <m/>
    <m/>
    <m/>
    <m/>
    <m/>
    <m/>
    <m/>
    <m/>
    <m/>
    <m/>
    <m/>
    <m/>
    <m/>
    <m/>
    <n v="11170530"/>
    <m/>
    <m/>
    <n v="3285450"/>
    <m/>
    <n v="3285450"/>
    <m/>
    <n v="4599630"/>
    <n v="1971270"/>
    <n v="1971270"/>
    <n v="13141800"/>
    <n v="13141800"/>
    <n v="0"/>
    <n v="0"/>
    <n v="0"/>
  </r>
  <r>
    <x v="0"/>
    <x v="3"/>
    <s v="TIC"/>
    <s v="Si"/>
    <n v="42"/>
    <s v="130-57"/>
    <s v="2 - Aumentar la capacidad institucional a nivel de arquitectura tecnológica y de sistemas de informaciòn"/>
    <x v="8"/>
    <x v="14"/>
    <n v="43233203"/>
    <x v="7"/>
    <s v="Software - Licencias"/>
    <s v="130-57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0"/>
    <n v="0"/>
    <s v="No"/>
    <s v="N/A"/>
    <s v="Eric Mauricio Vargas Forero"/>
    <s v="Jefe Oficina de Tecnologias de la Informacion"/>
    <n v="6012220601"/>
    <s v="eric.vargas@upme.gov.co"/>
    <m/>
    <m/>
    <m/>
    <m/>
    <m/>
    <m/>
    <m/>
    <m/>
    <m/>
    <m/>
    <m/>
    <m/>
    <m/>
    <m/>
    <m/>
    <m/>
    <m/>
    <m/>
    <m/>
    <m/>
    <m/>
    <m/>
    <m/>
    <m/>
    <m/>
    <m/>
    <n v="0"/>
    <n v="0"/>
    <n v="0"/>
    <n v="0"/>
    <n v="0"/>
  </r>
  <r>
    <x v="0"/>
    <x v="3"/>
    <s v="TIC"/>
    <s v="Si"/>
    <n v="42"/>
    <s v="130-58"/>
    <s v="2 - Aumentar la capacidad institucional a nivel de arquitectura tecnológica y de sistemas de informaciòn"/>
    <x v="8"/>
    <x v="14"/>
    <n v="80111620"/>
    <x v="7"/>
    <s v="Prestación de servicios profesionales y/o de apoyo a la gestión"/>
    <s v="130-58 Prestar servicios profesionales en el habilitador de la política de gobierno digital relacionado con servicios ciudadanos digitales, para el mantenimiento de los procesos automatizados en el BPMS, implementados por la UPME, de acuerdo con los reque"/>
    <s v="Agosto"/>
    <s v="Agosto"/>
    <s v="Agosto"/>
    <n v="2"/>
    <s v="Meses"/>
    <s v="Contratación directa "/>
    <s v="Propios - 20 - Ingresos corrientes"/>
    <n v="0"/>
    <n v="0"/>
    <s v="No"/>
    <s v="N/A"/>
    <s v="Eric Mauricio Vargas Forero"/>
    <s v="Jefe Oficina de Tecnologias de la Informacion"/>
    <n v="6012220601"/>
    <s v="eric.vargas@upme.gov.co"/>
    <m/>
    <m/>
    <m/>
    <m/>
    <m/>
    <m/>
    <m/>
    <m/>
    <m/>
    <m/>
    <m/>
    <m/>
    <m/>
    <m/>
    <m/>
    <m/>
    <m/>
    <m/>
    <m/>
    <m/>
    <m/>
    <m/>
    <m/>
    <m/>
    <m/>
    <m/>
    <n v="0"/>
    <n v="0"/>
    <n v="0"/>
    <n v="0"/>
    <n v="0"/>
  </r>
  <r>
    <x v="0"/>
    <x v="3"/>
    <s v="TIC"/>
    <s v="Si"/>
    <n v="36"/>
    <s v="130-59"/>
    <s v="2 - Aumentar la capacidad institucional a nivel de arquitectura tecnológica y de sistemas de informaciòn"/>
    <x v="8"/>
    <x v="14"/>
    <n v="80111620"/>
    <x v="7"/>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n v="2666216"/>
    <m/>
    <m/>
    <m/>
    <m/>
    <m/>
    <m/>
    <n v="2666216"/>
    <n v="2666216"/>
    <n v="0"/>
    <n v="0"/>
    <n v="0"/>
  </r>
  <r>
    <x v="0"/>
    <x v="3"/>
    <s v="TIC"/>
    <s v="Si"/>
    <n v="36"/>
    <s v="130-60"/>
    <s v="2 - Aumentar la capacidad institucional a nivel de arquitectura tecnológica y de sistemas de informaciòn"/>
    <x v="8"/>
    <x v="14"/>
    <n v="80111620"/>
    <x v="7"/>
    <s v="Prestación de servicios profesionales y/o de apoyo a la gestión"/>
    <s v="130-60 Prestar servicios profesionales como Gerente de Proyectos para Sistemas de Información, para liderar el seguimiento a los proyectos de desarrollo y la implementación de software en la entidad, así como  planificar, ejecutar y monitorear el ciclo de"/>
    <s v="Agosto"/>
    <s v="Agosto"/>
    <s v="Agosto"/>
    <n v="4"/>
    <s v="Meses"/>
    <s v="Contratación directa "/>
    <s v="Propios - 20 - Ingresos corrientes"/>
    <n v="20000000"/>
    <n v="20000000"/>
    <s v="No"/>
    <s v="N/A"/>
    <s v="Eric Mauricio Vargas Forero"/>
    <s v="Jefe Oficina de Tecnologias de la Informacion"/>
    <n v="6012220601"/>
    <s v="eric.vargas@upme.gov.co"/>
    <m/>
    <m/>
    <m/>
    <m/>
    <m/>
    <m/>
    <m/>
    <m/>
    <m/>
    <m/>
    <m/>
    <m/>
    <m/>
    <m/>
    <m/>
    <m/>
    <m/>
    <m/>
    <m/>
    <m/>
    <m/>
    <m/>
    <m/>
    <m/>
    <n v="20000000"/>
    <n v="20000000"/>
    <n v="20000000"/>
    <n v="20000000"/>
    <n v="0"/>
    <n v="0"/>
    <n v="0"/>
  </r>
  <r>
    <x v="0"/>
    <x v="3"/>
    <s v="TIC"/>
    <s v="Si"/>
    <n v="42"/>
    <s v="130-61"/>
    <s v="1 - Incrementar el desarrollo de los habilitadores transversales de la política de gobierno digital."/>
    <x v="7"/>
    <x v="13"/>
    <n v="81112003"/>
    <x v="6"/>
    <s v="Software - Nube pública o privada"/>
    <s v="130-61 Adquirir el servicio de nube para Backup y DRP"/>
    <s v="Septiembre"/>
    <s v="Octubre"/>
    <s v="Octubre"/>
    <n v="12"/>
    <s v="Meses"/>
    <s v="Seléccion abreviada - acuerdo marco"/>
    <s v="Propios - 20 - Ingresos corrientes"/>
    <n v="9774929"/>
    <n v="9774929"/>
    <s v="No"/>
    <s v="N/A"/>
    <s v="Paola del Pilar Puerta"/>
    <s v="Jefe Oficina de Tecnologias de la Informacion"/>
    <n v="6012220601"/>
    <s v="pilar.puerta@upme.gov.co"/>
    <m/>
    <m/>
    <m/>
    <m/>
    <m/>
    <m/>
    <m/>
    <m/>
    <m/>
    <m/>
    <m/>
    <m/>
    <m/>
    <m/>
    <m/>
    <m/>
    <m/>
    <m/>
    <n v="9774929"/>
    <m/>
    <m/>
    <m/>
    <m/>
    <n v="9774929"/>
    <m/>
    <m/>
    <n v="9774929"/>
    <n v="9774929"/>
    <n v="0"/>
    <n v="0"/>
    <n v="0"/>
  </r>
  <r>
    <x v="0"/>
    <x v="4"/>
    <s v="Energía"/>
    <s v="Si"/>
    <n v="46"/>
    <s v="150-1"/>
    <s v="1 - Aumentar señales de expansión y cobertura del servicio de energía eléctrica."/>
    <x v="10"/>
    <x v="18"/>
    <n v="80111620"/>
    <x v="9"/>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n v="3794700"/>
    <m/>
    <n v="7589400"/>
    <m/>
    <m/>
    <n v="36464100"/>
    <n v="36464100"/>
    <n v="0"/>
    <n v="0"/>
    <n v="0"/>
  </r>
  <r>
    <x v="0"/>
    <x v="4"/>
    <s v="Energía"/>
    <s v="Si"/>
    <n v="6"/>
    <s v="150-2"/>
    <s v="1 - Aumentar señales de expansión y cobertura del servicio de energía eléctrica."/>
    <x v="10"/>
    <x v="18"/>
    <n v="80111620"/>
    <x v="9"/>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m/>
    <m/>
    <n v="69284527"/>
    <n v="69284527"/>
    <n v="0"/>
    <n v="0"/>
    <n v="0"/>
  </r>
  <r>
    <x v="0"/>
    <x v="4"/>
    <s v="Energía"/>
    <s v="Si"/>
    <n v="37"/>
    <s v="150-3"/>
    <s v="1 - Aumentar señales de expansión y cobertura del servicio de energía eléctrica."/>
    <x v="10"/>
    <x v="18"/>
    <n v="80111620"/>
    <x v="9"/>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468325"/>
    <n v="101468325"/>
    <s v="No"/>
    <s v="N/A"/>
    <s v="Jose Lenin Morillo Carrillo"/>
    <s v="Subdirector de Energía Eléctrica"/>
    <n v="6012220601"/>
    <s v="jose.morillo@upme.gov.co"/>
    <n v="92944600"/>
    <m/>
    <m/>
    <n v="4137000"/>
    <m/>
    <n v="8274000"/>
    <n v="2206400"/>
    <n v="8274000"/>
    <m/>
    <n v="8274000"/>
    <m/>
    <n v="8274000"/>
    <m/>
    <n v="8274000"/>
    <n v="6083350"/>
    <n v="8274000"/>
    <m/>
    <n v="8741950"/>
    <m/>
    <n v="9677850"/>
    <m/>
    <n v="9677850"/>
    <m/>
    <n v="19355700"/>
    <n v="233975"/>
    <n v="233975"/>
    <n v="101468325"/>
    <n v="101468325"/>
    <n v="0"/>
    <n v="0"/>
    <n v="0"/>
  </r>
  <r>
    <x v="0"/>
    <x v="4"/>
    <s v="Energía"/>
    <s v="Si"/>
    <n v="6"/>
    <s v="150-4"/>
    <s v="1 - Aumentar señales de expansión y cobertura del servicio de energía eléctrica."/>
    <x v="10"/>
    <x v="18"/>
    <n v="80111620"/>
    <x v="9"/>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m/>
    <m/>
    <n v="91014000"/>
    <n v="91014000"/>
    <n v="0"/>
    <n v="0"/>
    <n v="0"/>
  </r>
  <r>
    <x v="0"/>
    <x v="4"/>
    <s v="Energía"/>
    <s v="Si"/>
    <n v="37"/>
    <s v="150-5"/>
    <s v="1 - Aumentar señales de expansión y cobertura del servicio de energía eléctrica."/>
    <x v="10"/>
    <x v="18"/>
    <n v="80111620"/>
    <x v="9"/>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m/>
    <m/>
    <n v="73950000"/>
    <n v="73950000"/>
    <n v="0"/>
    <n v="0"/>
    <n v="0"/>
  </r>
  <r>
    <x v="0"/>
    <x v="4"/>
    <s v="Energía"/>
    <s v="Si"/>
    <n v="6"/>
    <s v="150-6"/>
    <s v="1 - Aumentar señales de expansión y cobertura del servicio de energía eléctrica."/>
    <x v="10"/>
    <x v="18"/>
    <n v="80111620"/>
    <x v="9"/>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m/>
    <m/>
    <n v="112872283"/>
    <n v="112872283"/>
    <n v="0"/>
    <n v="0"/>
    <n v="0"/>
  </r>
  <r>
    <x v="0"/>
    <x v="4"/>
    <s v="Energía"/>
    <s v="Si"/>
    <n v="42"/>
    <s v="150-7"/>
    <s v="1 - Aumentar señales de expansión y cobertura del servicio de energía eléctrica."/>
    <x v="10"/>
    <x v="18"/>
    <n v="80111620"/>
    <x v="9"/>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m/>
    <m/>
    <n v="77962500"/>
    <n v="77962500"/>
    <n v="0"/>
    <n v="0"/>
    <n v="0"/>
  </r>
  <r>
    <x v="0"/>
    <x v="4"/>
    <s v="Energía"/>
    <s v="Si"/>
    <n v="6"/>
    <s v="150-8"/>
    <s v="1 - Aumentar señales de expansión y cobertura del servicio de energía eléctrica."/>
    <x v="10"/>
    <x v="18"/>
    <n v="80111620"/>
    <x v="9"/>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m/>
    <m/>
    <n v="37393767"/>
    <n v="37393767"/>
    <n v="0"/>
    <n v="0"/>
    <n v="0"/>
  </r>
  <r>
    <x v="0"/>
    <x v="4"/>
    <s v="Energía"/>
    <s v="Si"/>
    <n v="6"/>
    <s v="150-9"/>
    <s v="1 - Aumentar señales de expansión y cobertura del servicio de energía eléctrica."/>
    <x v="10"/>
    <x v="18"/>
    <n v="80111620"/>
    <x v="9"/>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m/>
    <m/>
    <n v="69264000"/>
    <n v="69264000"/>
    <n v="0"/>
    <n v="0"/>
    <n v="0"/>
  </r>
  <r>
    <x v="0"/>
    <x v="4"/>
    <s v="Energía"/>
    <s v="Si"/>
    <s v="75 (30/12/2024)"/>
    <s v="150-10"/>
    <s v="1 - Aumentar señales de expansión y cobertura del servicio de energía eléctrica."/>
    <x v="10"/>
    <x v="18"/>
    <s v="N/A"/>
    <x v="9"/>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2000000"/>
    <n v="2000000"/>
    <n v="2000000"/>
    <n v="2000000"/>
    <n v="4000000"/>
    <n v="4251393"/>
    <n v="7054632.5999999996"/>
    <n v="7054632.5999999996"/>
    <n v="38930100"/>
    <n v="38930100"/>
    <n v="0"/>
    <n v="0"/>
    <n v="0"/>
  </r>
  <r>
    <x v="0"/>
    <x v="4"/>
    <s v="Energía"/>
    <s v="Si"/>
    <n v="6"/>
    <s v="150-11"/>
    <s v="1 - Aumentar señales de expansión y cobertura del servicio de energía eléctrica."/>
    <x v="10"/>
    <x v="18"/>
    <n v="80111620"/>
    <x v="9"/>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r>
  <r>
    <x v="0"/>
    <x v="4"/>
    <s v="Energía"/>
    <s v="Si"/>
    <n v="6"/>
    <s v="150-12"/>
    <s v="1 - Aumentar señales de expansión y cobertura del servicio de energía eléctrica."/>
    <x v="10"/>
    <x v="18"/>
    <n v="80111620"/>
    <x v="9"/>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1844456"/>
    <m/>
    <n v="11844456"/>
    <m/>
    <n v="11844456"/>
    <m/>
    <n v="24898806"/>
    <m/>
    <m/>
    <n v="137060867"/>
    <n v="137060867"/>
    <n v="0"/>
    <n v="0"/>
    <n v="0"/>
  </r>
  <r>
    <x v="0"/>
    <x v="4"/>
    <s v="Energía"/>
    <s v="Si"/>
    <n v="15"/>
    <s v="150-13"/>
    <s v="1 - Aumentar señales de expansión y cobertura del servicio de energía eléctrica."/>
    <x v="10"/>
    <x v="18"/>
    <n v="80111620"/>
    <x v="9"/>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m/>
    <m/>
    <n v="39561500"/>
    <n v="39561500"/>
    <n v="0"/>
    <n v="0"/>
    <n v="0"/>
  </r>
  <r>
    <x v="0"/>
    <x v="4"/>
    <s v="Energía"/>
    <s v="Si"/>
    <n v="6"/>
    <s v="150-14"/>
    <s v="1 - Aumentar señales de expansión y cobertura del servicio de energía eléctrica."/>
    <x v="10"/>
    <x v="18"/>
    <n v="80111620"/>
    <x v="9"/>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m/>
    <m/>
    <n v="28509520"/>
    <n v="28509520"/>
    <n v="0"/>
    <n v="0"/>
    <n v="0"/>
  </r>
  <r>
    <x v="0"/>
    <x v="4"/>
    <s v="Energía"/>
    <s v="Si"/>
    <n v="2"/>
    <s v="150-15"/>
    <s v="1 - Aumentar señales de expansión y cobertura del servicio de energía eléctrica."/>
    <x v="10"/>
    <x v="18"/>
    <n v="78111502"/>
    <x v="9"/>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45452318"/>
    <n v="45452318"/>
    <s v="No"/>
    <s v="N/A"/>
    <s v="Jose Lenin Morillo Carrillo"/>
    <s v="Subdirector de Energía Eléctrica"/>
    <n v="6012220601"/>
    <s v="jose.morillo@upme.gov.co"/>
    <m/>
    <m/>
    <m/>
    <m/>
    <m/>
    <m/>
    <m/>
    <m/>
    <m/>
    <m/>
    <n v="20000000"/>
    <m/>
    <m/>
    <m/>
    <m/>
    <n v="12568536"/>
    <m/>
    <m/>
    <n v="25452318"/>
    <n v="3246595"/>
    <m/>
    <n v="12986376"/>
    <m/>
    <n v="16650811"/>
    <m/>
    <m/>
    <n v="45452318"/>
    <n v="45452318"/>
    <n v="0"/>
    <n v="0"/>
    <n v="0"/>
  </r>
  <r>
    <x v="0"/>
    <x v="4"/>
    <s v="Energía"/>
    <s v="Si"/>
    <n v="6"/>
    <s v="150-16"/>
    <s v="1 - Aumentar señales de expansión y cobertura del servicio de energía eléctrica."/>
    <x v="10"/>
    <x v="18"/>
    <n v="80111620"/>
    <x v="9"/>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r>
  <r>
    <x v="0"/>
    <x v="4"/>
    <s v="Energía"/>
    <s v="Si"/>
    <n v="15"/>
    <s v="150-17"/>
    <s v="1 - Aumentar señales de expansión y cobertura del servicio de energía eléctrica."/>
    <x v="10"/>
    <x v="18"/>
    <n v="80111620"/>
    <x v="9"/>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500"/>
    <n v="62651500"/>
    <s v="No"/>
    <s v="N/A"/>
    <s v="Jose Lenin Morillo Carrillo"/>
    <s v="Subdirector de Energía Eléctrica"/>
    <n v="6012220601"/>
    <s v="jose.morillo@upme.gov.co"/>
    <n v="55050500"/>
    <m/>
    <m/>
    <n v="3510467"/>
    <m/>
    <n v="4787000"/>
    <n v="7600567"/>
    <n v="4787000"/>
    <m/>
    <n v="5507400"/>
    <m/>
    <n v="5507400"/>
    <m/>
    <n v="5507400"/>
    <m/>
    <n v="5507400"/>
    <m/>
    <n v="5507400"/>
    <m/>
    <n v="5507400"/>
    <m/>
    <n v="5507400"/>
    <m/>
    <n v="11015233"/>
    <n v="433"/>
    <m/>
    <n v="62651500"/>
    <n v="62651500"/>
    <n v="0"/>
    <n v="0"/>
    <n v="0"/>
  </r>
  <r>
    <x v="0"/>
    <x v="4"/>
    <s v="Energía"/>
    <s v="Si"/>
    <n v="20"/>
    <s v="150-18"/>
    <s v="1 - Aumentar señales de expansión y cobertura del servicio de energía eléctrica."/>
    <x v="10"/>
    <x v="18"/>
    <n v="80111620"/>
    <x v="9"/>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r>
  <r>
    <x v="0"/>
    <x v="4"/>
    <s v="Energía"/>
    <s v="Si"/>
    <n v="20"/>
    <s v="150-19"/>
    <s v="1 - Aumentar señales de expansión y cobertura del servicio de energía eléctrica."/>
    <x v="10"/>
    <x v="18"/>
    <n v="80111620"/>
    <x v="9"/>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m/>
    <m/>
    <n v="49105440"/>
    <n v="49105440"/>
    <n v="0"/>
    <n v="0"/>
    <n v="0"/>
  </r>
  <r>
    <x v="0"/>
    <x v="4"/>
    <s v="Energía"/>
    <s v="Si"/>
    <n v="20"/>
    <s v="150-20"/>
    <s v="1 - Aumentar señales de expansión y cobertura del servicio de energía eléctrica."/>
    <x v="10"/>
    <x v="18"/>
    <n v="80111620"/>
    <x v="9"/>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m/>
    <m/>
    <n v="87336160"/>
    <n v="87336160"/>
    <n v="0"/>
    <n v="0"/>
    <n v="0"/>
  </r>
  <r>
    <x v="0"/>
    <x v="4"/>
    <s v="Energía"/>
    <s v="Si"/>
    <n v="20"/>
    <s v="150-21"/>
    <s v="1 - Aumentar señales de expansión y cobertura del servicio de energía eléctrica."/>
    <x v="10"/>
    <x v="18"/>
    <n v="80111620"/>
    <x v="9"/>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m/>
    <m/>
    <n v="87336160"/>
    <n v="87336160"/>
    <n v="0"/>
    <n v="0"/>
    <n v="0"/>
  </r>
  <r>
    <x v="0"/>
    <x v="4"/>
    <s v="Energía"/>
    <s v="Si"/>
    <n v="6"/>
    <s v="150-22"/>
    <s v="1 - Aumentar señales de expansión y cobertura del servicio de energía eléctrica."/>
    <x v="10"/>
    <x v="18"/>
    <n v="80111620"/>
    <x v="9"/>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r>
  <r>
    <x v="0"/>
    <x v="4"/>
    <s v="Energía"/>
    <s v="Si"/>
    <n v="6"/>
    <s v="150-23"/>
    <s v="1 - Aumentar señales de expansión y cobertura del servicio de energía eléctrica."/>
    <x v="10"/>
    <x v="18"/>
    <n v="80111620"/>
    <x v="9"/>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r>
  <r>
    <x v="0"/>
    <x v="4"/>
    <s v="Energía"/>
    <s v="Si"/>
    <n v="19"/>
    <s v="150-24"/>
    <s v="1 - Aumentar señales de expansión y cobertura del servicio de energía eléctrica."/>
    <x v="10"/>
    <x v="18"/>
    <n v="80111620"/>
    <x v="9"/>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m/>
    <m/>
    <n v="2150330"/>
    <n v="2150330"/>
    <n v="0"/>
    <n v="0"/>
    <n v="0"/>
  </r>
  <r>
    <x v="0"/>
    <x v="4"/>
    <s v="Energía"/>
    <s v="Si"/>
    <n v="37"/>
    <s v="150-25"/>
    <s v="2 - Aumentar la oportunidad en la definición de obras y ejecución de los procesos de convocatorias."/>
    <x v="11"/>
    <x v="19"/>
    <n v="80121601"/>
    <x v="10"/>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n v="13000000"/>
    <m/>
    <n v="13000000"/>
    <m/>
    <n v="28166667"/>
    <m/>
    <m/>
    <n v="130000000"/>
    <n v="130000000"/>
    <n v="0"/>
    <n v="0"/>
    <n v="0"/>
  </r>
  <r>
    <x v="0"/>
    <x v="4"/>
    <s v="Energía"/>
    <s v="Si"/>
    <n v="20"/>
    <s v="150-26"/>
    <s v="2 - Aumentar la oportunidad en la definición de obras y ejecución de los procesos de convocatorias."/>
    <x v="11"/>
    <x v="20"/>
    <n v="80111620"/>
    <x v="10"/>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m/>
    <m/>
    <n v="63660265"/>
    <n v="63660265"/>
    <n v="0"/>
    <n v="0"/>
    <n v="0"/>
  </r>
  <r>
    <x v="0"/>
    <x v="4"/>
    <s v="Energía"/>
    <s v="Si"/>
    <n v="15"/>
    <s v="150-27"/>
    <s v="1 - Aumentar señales de expansión y cobertura del servicio de energía eléctrica."/>
    <x v="10"/>
    <x v="18"/>
    <n v="80111620"/>
    <x v="9"/>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m/>
    <m/>
    <n v="7116755"/>
    <n v="7116755"/>
    <n v="0"/>
    <n v="0"/>
    <n v="0"/>
  </r>
  <r>
    <x v="0"/>
    <x v="4"/>
    <s v="Energía"/>
    <s v="Si"/>
    <n v="6"/>
    <s v="150-28"/>
    <s v="2 - Aumentar la oportunidad en la definición de obras y ejecución de los procesos de convocatorias."/>
    <x v="11"/>
    <x v="20"/>
    <n v="80111620"/>
    <x v="10"/>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7866500"/>
    <m/>
    <n v="7866500"/>
    <m/>
    <n v="17237325"/>
    <m/>
    <m/>
    <n v="92202533"/>
    <n v="92202533"/>
    <n v="0"/>
    <n v="0"/>
    <n v="0"/>
  </r>
  <r>
    <x v="0"/>
    <x v="4"/>
    <s v="Energía"/>
    <s v="Si"/>
    <n v="20"/>
    <s v="150-29"/>
    <s v="2 - Aumentar la oportunidad en la definición de obras y ejecución de los procesos de convocatorias."/>
    <x v="11"/>
    <x v="20"/>
    <n v="80111620"/>
    <x v="10"/>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m/>
    <m/>
    <n v="87318150"/>
    <n v="87318150"/>
    <n v="0"/>
    <n v="0"/>
    <n v="0"/>
  </r>
  <r>
    <x v="0"/>
    <x v="4"/>
    <s v="Energía"/>
    <s v="Si"/>
    <n v="20"/>
    <s v="150-30"/>
    <s v="2 - Aumentar la oportunidad en la definición de obras y ejecución de los procesos de convocatorias."/>
    <x v="11"/>
    <x v="20"/>
    <n v="80111620"/>
    <x v="10"/>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8866500"/>
    <m/>
    <n v="16237325"/>
    <m/>
    <m/>
    <n v="86958200"/>
    <n v="86958200"/>
    <n v="0"/>
    <n v="0"/>
    <n v="0"/>
  </r>
  <r>
    <x v="0"/>
    <x v="4"/>
    <s v="Energía"/>
    <s v="Si"/>
    <n v="6"/>
    <s v="150-31"/>
    <s v="2 - Aumentar la oportunidad en la definición de obras y ejecución de los procesos de convocatorias."/>
    <x v="11"/>
    <x v="20"/>
    <n v="80111620"/>
    <x v="10"/>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m/>
    <m/>
    <n v="79046500"/>
    <n v="79046500"/>
    <n v="0"/>
    <n v="0"/>
    <n v="0"/>
  </r>
  <r>
    <x v="0"/>
    <x v="4"/>
    <s v="Energía"/>
    <s v="Si"/>
    <n v="20"/>
    <s v="150-32"/>
    <s v="2 - Aumentar la oportunidad en la definición de obras y ejecución de los procesos de convocatorias."/>
    <x v="11"/>
    <x v="20"/>
    <n v="80111620"/>
    <x v="10"/>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r>
  <r>
    <x v="0"/>
    <x v="4"/>
    <s v="Energía"/>
    <s v="Si"/>
    <n v="6"/>
    <s v="150-33"/>
    <s v="2 - Aumentar la oportunidad en la definición de obras y ejecución de los procesos de convocatorias."/>
    <x v="11"/>
    <x v="20"/>
    <n v="80111620"/>
    <x v="10"/>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m/>
    <m/>
    <n v="79046500"/>
    <n v="79046500"/>
    <n v="0"/>
    <n v="0"/>
    <n v="0"/>
  </r>
  <r>
    <x v="0"/>
    <x v="4"/>
    <s v="Energía"/>
    <s v="Si"/>
    <n v="6"/>
    <s v="150-34"/>
    <s v="1 - Aumentar señales de expansión y cobertura del servicio de energía eléctrica."/>
    <x v="10"/>
    <x v="18"/>
    <n v="80111620"/>
    <x v="9"/>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5000000"/>
    <n v="85000000"/>
    <s v="No"/>
    <s v="N/A"/>
    <s v="Jose Lenin Morillo Carrillo"/>
    <s v="Subdirector de Energía Eléctrica"/>
    <n v="6012220601"/>
    <s v="jose.morillo@upme.gov.co"/>
    <m/>
    <m/>
    <n v="85000000"/>
    <m/>
    <m/>
    <n v="1416667"/>
    <m/>
    <n v="8500000"/>
    <m/>
    <n v="8500000"/>
    <m/>
    <n v="8500000"/>
    <m/>
    <n v="8500000"/>
    <m/>
    <n v="8500000"/>
    <m/>
    <n v="8500000"/>
    <m/>
    <n v="8500000"/>
    <m/>
    <n v="8500000"/>
    <m/>
    <n v="15583333"/>
    <m/>
    <m/>
    <n v="85000000"/>
    <n v="85000000"/>
    <n v="0"/>
    <n v="0"/>
    <n v="0"/>
  </r>
  <r>
    <x v="0"/>
    <x v="4"/>
    <s v="Energía"/>
    <s v="Si"/>
    <n v="44"/>
    <s v="150-35"/>
    <s v="1 - Aumentar señales de expansión y cobertura del servicio de energía eléctrica."/>
    <x v="10"/>
    <x v="18"/>
    <n v="80111620"/>
    <x v="9"/>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7005760"/>
    <n v="47005760"/>
    <s v="No"/>
    <s v="N/A"/>
    <s v="Jose Lenin Morillo Carrillo"/>
    <s v="Subdirector de Energía Eléctrica"/>
    <n v="6012220601"/>
    <s v="jose.morillo@upme.gov.co"/>
    <m/>
    <m/>
    <n v="66811333"/>
    <m/>
    <n v="-205573"/>
    <n v="4933760"/>
    <m/>
    <n v="6167200"/>
    <m/>
    <n v="6167200"/>
    <m/>
    <n v="6167200"/>
    <m/>
    <n v="6167200"/>
    <m/>
    <n v="6167200"/>
    <n v="-23640933"/>
    <n v="6167200"/>
    <m/>
    <m/>
    <n v="4040933"/>
    <m/>
    <m/>
    <n v="5068800"/>
    <m/>
    <m/>
    <n v="47005760"/>
    <n v="47005760"/>
    <n v="0"/>
    <n v="0"/>
    <n v="0"/>
  </r>
  <r>
    <x v="0"/>
    <x v="4"/>
    <s v="Energía"/>
    <s v="Si"/>
    <s v="75 (30/12/2024)"/>
    <s v="150-36"/>
    <s v="1 - Aumentar señales de expansión y cobertura del servicio de energía eléctrica."/>
    <x v="10"/>
    <x v="18"/>
    <n v="81112501"/>
    <x v="9"/>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55936690"/>
    <n v="355936690"/>
    <s v="No"/>
    <s v="N/A"/>
    <s v="Jose Lenin Morillo Carrillo"/>
    <s v="Subdirector de Energía Eléctrica"/>
    <n v="6012220601"/>
    <s v="jose.morillo@upme.gov.co"/>
    <m/>
    <m/>
    <m/>
    <m/>
    <m/>
    <m/>
    <m/>
    <m/>
    <m/>
    <m/>
    <m/>
    <m/>
    <m/>
    <m/>
    <m/>
    <m/>
    <m/>
    <m/>
    <n v="355936690"/>
    <n v="355936690"/>
    <m/>
    <m/>
    <m/>
    <m/>
    <m/>
    <m/>
    <n v="355936690"/>
    <n v="355936690"/>
    <n v="0"/>
    <n v="0"/>
    <n v="0"/>
  </r>
  <r>
    <x v="0"/>
    <x v="4"/>
    <s v="Energía"/>
    <s v="Si"/>
    <n v="39"/>
    <s v="150-37"/>
    <s v="1 - Aumentar señales de expansión y cobertura del servicio de energía eléctrica."/>
    <x v="10"/>
    <x v="18"/>
    <n v="81112501"/>
    <x v="9"/>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m/>
    <m/>
    <n v="0.47"/>
    <n v="0.47"/>
    <n v="615975043"/>
    <n v="615975043"/>
    <n v="0"/>
    <n v="0"/>
    <n v="0"/>
  </r>
  <r>
    <x v="0"/>
    <x v="4"/>
    <s v="Energía"/>
    <s v="Si"/>
    <n v="48"/>
    <s v="150-38"/>
    <s v="1 - Aumentar señales de expansión y cobertura del servicio de energía eléctrica."/>
    <x v="10"/>
    <x v="18"/>
    <n v="81112501"/>
    <x v="9"/>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630648274"/>
    <n v="630648274"/>
    <s v="No"/>
    <s v="N/A"/>
    <s v="Jose Lenin Morillo Carrillo"/>
    <s v="Subdirector de Energía Eléctrica"/>
    <n v="6012220601"/>
    <s v="jose.morillo@upme.gov.co"/>
    <m/>
    <m/>
    <m/>
    <m/>
    <m/>
    <m/>
    <m/>
    <m/>
    <m/>
    <m/>
    <m/>
    <m/>
    <m/>
    <m/>
    <m/>
    <m/>
    <m/>
    <m/>
    <m/>
    <m/>
    <n v="630648274"/>
    <m/>
    <m/>
    <n v="630648274"/>
    <m/>
    <m/>
    <n v="630648274"/>
    <n v="630648274"/>
    <n v="0"/>
    <n v="0"/>
    <n v="0"/>
  </r>
  <r>
    <x v="0"/>
    <x v="4"/>
    <s v="Energía"/>
    <s v="Si"/>
    <n v="6"/>
    <s v="150-39"/>
    <s v="1 - Aumentar señales de expansión y cobertura del servicio de energía eléctrica."/>
    <x v="10"/>
    <x v="18"/>
    <n v="93142104"/>
    <x v="9"/>
    <s v="Software - Licencias"/>
    <s v="150-39 Adquirir el servicio de suscripción online de la herramienta SAX para dos usuarios durante un año, incluyendo el soporte técnico general y específico."/>
    <s v="Octubre"/>
    <s v="Octubre"/>
    <s v="Noviembre"/>
    <n v="12"/>
    <s v="Meses"/>
    <s v="Contratación directa - único oferente"/>
    <s v="Propios - 20 - Ingresos corrientes"/>
    <n v="0"/>
    <n v="0"/>
    <s v="No"/>
    <s v="N/A"/>
    <s v="Jose Lenin Morillo Carrillo"/>
    <s v="Subdirector de Energía Eléctrica"/>
    <n v="6012220601"/>
    <s v="jose.morillo@upme.gov.co"/>
    <m/>
    <m/>
    <m/>
    <m/>
    <m/>
    <m/>
    <m/>
    <m/>
    <m/>
    <m/>
    <m/>
    <m/>
    <m/>
    <m/>
    <m/>
    <m/>
    <m/>
    <m/>
    <m/>
    <m/>
    <m/>
    <m/>
    <m/>
    <m/>
    <m/>
    <m/>
    <n v="0"/>
    <n v="0"/>
    <n v="0"/>
    <n v="0"/>
    <n v="0"/>
  </r>
  <r>
    <x v="0"/>
    <x v="4"/>
    <s v="Energía"/>
    <s v="Si"/>
    <n v="48"/>
    <s v="150-40"/>
    <s v="1 - Aumentar señales de expansión y cobertura del servicio de energía eléctrica."/>
    <x v="10"/>
    <x v="18"/>
    <s v="N/A"/>
    <x v="9"/>
    <s v="Planta temporal"/>
    <s v="150-40 Gastos de personal de los empleos de la planta temporal"/>
    <s v="Octubre"/>
    <s v="Octubre"/>
    <s v="Octubre"/>
    <n v="6"/>
    <s v="Meses"/>
    <s v="Contratación régimen especial - Régimen especial"/>
    <s v="Propios - 20 - Ingresos corrientes"/>
    <n v="153020300"/>
    <n v="153020300"/>
    <s v="No"/>
    <s v="N/A"/>
    <s v="Jose Lenin Morillo Carrillo"/>
    <s v="Subdirector de Energía Eléctrica"/>
    <n v="6012220601"/>
    <s v="jose.morillo@upme.gov.co"/>
    <m/>
    <m/>
    <m/>
    <m/>
    <m/>
    <m/>
    <m/>
    <m/>
    <m/>
    <m/>
    <m/>
    <m/>
    <m/>
    <m/>
    <m/>
    <m/>
    <m/>
    <m/>
    <m/>
    <m/>
    <n v="153020300"/>
    <m/>
    <m/>
    <n v="153020300"/>
    <m/>
    <m/>
    <n v="153020300"/>
    <n v="153020300"/>
    <n v="0"/>
    <n v="0"/>
    <n v="0"/>
  </r>
  <r>
    <x v="0"/>
    <x v="4"/>
    <s v="Energía"/>
    <s v="Si"/>
    <n v="28"/>
    <s v="150-41"/>
    <s v="1 - Aumentar señales de expansión y cobertura del servicio de energía eléctrica."/>
    <x v="10"/>
    <x v="18"/>
    <n v="80131500"/>
    <x v="9"/>
    <s v="Arrendamientos"/>
    <s v="150-41 Alquilar espacios de oficina (coworking) en virtud del proyecto de modernización organizacional para la Unidad de Planeación Minero Energética."/>
    <s v="Octubre"/>
    <s v="Octubre"/>
    <s v="Octubre"/>
    <n v="6"/>
    <s v="Meses"/>
    <s v="Contratación directa - Contratos de arrendamiento o adquisición de inmuebles"/>
    <s v="Propios - 20 - Ingresos corrientes"/>
    <n v="80325000"/>
    <n v="80325000"/>
    <s v="No"/>
    <s v="N/A"/>
    <s v="Jose Lenin Morillo Carrillo"/>
    <s v="Subdirector de Energía Eléctrica"/>
    <n v="6012220601"/>
    <s v="jose.morillo@upme.gov.co"/>
    <m/>
    <m/>
    <m/>
    <m/>
    <m/>
    <m/>
    <m/>
    <m/>
    <m/>
    <m/>
    <m/>
    <m/>
    <m/>
    <m/>
    <m/>
    <m/>
    <m/>
    <m/>
    <m/>
    <m/>
    <n v="17189550"/>
    <n v="17189550"/>
    <n v="17189550"/>
    <n v="17189550"/>
    <n v="45945900"/>
    <n v="45945900"/>
    <n v="80325000"/>
    <n v="80325000"/>
    <n v="0"/>
    <n v="0"/>
    <n v="0"/>
  </r>
  <r>
    <x v="0"/>
    <x v="4"/>
    <s v="Energía"/>
    <s v="Si"/>
    <n v="47"/>
    <s v="150-42"/>
    <s v="2 - Aumentar la oportunidad en la definición de obras y ejecución de los procesos de convocatorias."/>
    <x v="11"/>
    <x v="20"/>
    <s v="N/A"/>
    <x v="10"/>
    <s v="Planta temporal"/>
    <s v="150-42 Gastos de personal de los empleos de la planta temporal."/>
    <s v="Octubre"/>
    <s v="Octubre"/>
    <s v="Octubre"/>
    <n v="6"/>
    <s v="Meses"/>
    <s v="Contratación régimen especial - Régimen especial"/>
    <s v="Propios - 20 - Ingresos corrientes"/>
    <n v="14168835"/>
    <n v="14168835"/>
    <s v="No"/>
    <s v="N/A"/>
    <s v="Jose Lenin Morillo Carrillo"/>
    <s v="Subdirector de Energía Eléctrica"/>
    <n v="6012220601"/>
    <s v="jose.morillo@upme.gov.co"/>
    <m/>
    <m/>
    <m/>
    <m/>
    <m/>
    <m/>
    <m/>
    <m/>
    <m/>
    <m/>
    <m/>
    <m/>
    <m/>
    <m/>
    <m/>
    <m/>
    <m/>
    <m/>
    <m/>
    <m/>
    <n v="14168835"/>
    <m/>
    <m/>
    <n v="14168835"/>
    <m/>
    <m/>
    <n v="14168835"/>
    <n v="14168835"/>
    <n v="0"/>
    <n v="0"/>
    <n v="0"/>
  </r>
  <r>
    <x v="0"/>
    <x v="4"/>
    <s v="Energía"/>
    <s v="Si"/>
    <n v="16"/>
    <s v="150-43"/>
    <s v="1 - Aumentar señales de expansión y cobertura del servicio de energía eléctrica."/>
    <x v="10"/>
    <x v="18"/>
    <n v="81101516"/>
    <x v="9"/>
    <s v="Consultoría"/>
    <s v="150-43 Consultoria para la determinación de las viviendas sin servicios en el marco del cálculo del índice de cobertura."/>
    <s v="Junio"/>
    <s v="Junio"/>
    <s v="Julio"/>
    <n v="1"/>
    <s v="Meses"/>
    <s v="Contratación régimen especial (con ofertas) - Régimen especial"/>
    <s v="Propios - 20 - Ingresos corrientes"/>
    <n v="0"/>
    <n v="0"/>
    <s v="No"/>
    <s v="N/A"/>
    <s v="Jose Lenin Morillo Carrillo"/>
    <s v="Subdirector de Energía Eléctrica"/>
    <n v="6012220601"/>
    <s v="jose.morillo@upme.gov.co"/>
    <m/>
    <m/>
    <m/>
    <m/>
    <m/>
    <m/>
    <m/>
    <m/>
    <m/>
    <m/>
    <m/>
    <m/>
    <m/>
    <m/>
    <m/>
    <m/>
    <m/>
    <m/>
    <m/>
    <m/>
    <m/>
    <m/>
    <m/>
    <m/>
    <m/>
    <m/>
    <n v="0"/>
    <n v="0"/>
    <n v="0"/>
    <n v="0"/>
    <n v="0"/>
  </r>
  <r>
    <x v="0"/>
    <x v="4"/>
    <s v="Energía"/>
    <s v="Si"/>
    <n v="37"/>
    <s v="150-44"/>
    <s v="1 - Aumentar señales de expansión y cobertura del servicio de energía eléctrica."/>
    <x v="10"/>
    <x v="18"/>
    <n v="80111620"/>
    <x v="9"/>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m/>
    <m/>
    <n v="79046500"/>
    <n v="79046500"/>
    <n v="0"/>
    <n v="0"/>
    <n v="0"/>
  </r>
  <r>
    <x v="0"/>
    <x v="4"/>
    <s v="Energía"/>
    <s v="Si"/>
    <n v="37"/>
    <s v="150-45"/>
    <s v="1 - Aumentar señales de expansión y cobertura del servicio de energía eléctrica."/>
    <x v="10"/>
    <x v="18"/>
    <n v="80111620"/>
    <x v="9"/>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836420"/>
    <n v="243220"/>
    <m/>
    <n v="80505820"/>
    <n v="80505820"/>
    <n v="0"/>
    <n v="0"/>
    <n v="0"/>
  </r>
  <r>
    <x v="0"/>
    <x v="4"/>
    <s v="Energía"/>
    <s v="Si"/>
    <n v="37"/>
    <s v="150-46"/>
    <s v="1 - Aumentar señales de expansión y cobertura del servicio de energía eléctrica."/>
    <x v="10"/>
    <x v="18"/>
    <n v="80111620"/>
    <x v="9"/>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836420"/>
    <n v="243220"/>
    <m/>
    <n v="80505820"/>
    <n v="80505820"/>
    <n v="0"/>
    <n v="0"/>
    <n v="0"/>
  </r>
  <r>
    <x v="0"/>
    <x v="4"/>
    <s v="Energía"/>
    <s v="Si"/>
    <n v="37"/>
    <s v="150-47"/>
    <s v="1 - Aumentar señales de expansión y cobertura del servicio de energía eléctrica."/>
    <x v="10"/>
    <x v="18"/>
    <n v="80111620"/>
    <x v="9"/>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m/>
    <m/>
    <n v="80262600"/>
    <n v="80262600"/>
    <n v="0"/>
    <n v="0"/>
    <n v="0"/>
  </r>
  <r>
    <x v="0"/>
    <x v="4"/>
    <s v="Energía"/>
    <s v="Si"/>
    <n v="37"/>
    <s v="150-48"/>
    <s v="1 - Aumentar señales de expansión y cobertura del servicio de energía eléctrica."/>
    <x v="10"/>
    <x v="18"/>
    <n v="80111620"/>
    <x v="9"/>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836420"/>
    <n v="243220"/>
    <m/>
    <n v="80505820"/>
    <n v="80505820"/>
    <n v="0"/>
    <n v="0"/>
    <n v="0"/>
  </r>
  <r>
    <x v="0"/>
    <x v="4"/>
    <s v="Energía"/>
    <s v="Si"/>
    <n v="41"/>
    <s v="150-49"/>
    <s v="1 - Aumentar señales de expansión y cobertura del servicio de energía eléctrica."/>
    <x v="10"/>
    <x v="18"/>
    <n v="80111620"/>
    <x v="9"/>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m/>
    <m/>
    <n v="49732740"/>
    <n v="49732740"/>
    <n v="0"/>
    <n v="0"/>
    <n v="0"/>
  </r>
  <r>
    <x v="0"/>
    <x v="4"/>
    <s v="Energía"/>
    <s v="Si"/>
    <n v="20"/>
    <s v="150-50"/>
    <s v="1 - Aumentar señales de expansión y cobertura del servicio de energía eléctrica."/>
    <x v="10"/>
    <x v="18"/>
    <n v="80111620"/>
    <x v="9"/>
    <s v="Prestación de servicios profesionales y/o de apoyo a la gestión"/>
    <s v="150-50 Prestar los servicios profesionales para apoyar el seguimiento el seguimiento a la ejecución de los proyectos de nivel de tensión iv que corresponde a la upme y las solicitudes de conexión según la resolución creg 075 de 2021 , así como los procedi"/>
    <s v="Enero"/>
    <s v="Enero"/>
    <s v="Enero"/>
    <n v="11"/>
    <s v="Meses"/>
    <s v="Contratación directa - Prestación de servicios profesionales"/>
    <s v="Propios - 20 - Ingresos corrientes"/>
    <n v="40967650"/>
    <n v="40967650"/>
    <s v="No"/>
    <s v="N/A"/>
    <s v="Jose Lenin Morillo Carrillo"/>
    <s v="Subdirector de Energía Eléctrica"/>
    <n v="6012220601"/>
    <s v="jose.morillo@upme.gov.co"/>
    <m/>
    <m/>
    <n v="41343500"/>
    <m/>
    <n v="-375850"/>
    <n v="3382650"/>
    <m/>
    <n v="3758500"/>
    <m/>
    <n v="3758500"/>
    <m/>
    <n v="3758500"/>
    <m/>
    <n v="3758500"/>
    <m/>
    <n v="3758500"/>
    <m/>
    <n v="3758500"/>
    <m/>
    <n v="3758500"/>
    <m/>
    <n v="3758500"/>
    <m/>
    <n v="7517000"/>
    <m/>
    <m/>
    <n v="40967650"/>
    <n v="40967650"/>
    <n v="0"/>
    <n v="0"/>
    <n v="0"/>
  </r>
  <r>
    <x v="0"/>
    <x v="4"/>
    <s v="Energía"/>
    <s v="Si"/>
    <n v="20"/>
    <s v="150-51"/>
    <s v="1 - Aumentar señales de expansión y cobertura del servicio de energía eléctrica."/>
    <x v="10"/>
    <x v="18"/>
    <n v="80111620"/>
    <x v="9"/>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144280"/>
    <n v="35144280"/>
    <s v="No"/>
    <s v="N/A"/>
    <s v="Jose Lenin Morillo Carrillo"/>
    <s v="Subdirector de Energía Eléctrica"/>
    <n v="6012220601"/>
    <s v="jose.morillo@upme.gov.co"/>
    <m/>
    <m/>
    <n v="35252750"/>
    <m/>
    <m/>
    <n v="2603280"/>
    <n v="-108470"/>
    <n v="3254100"/>
    <m/>
    <n v="3254100"/>
    <m/>
    <n v="3254100"/>
    <m/>
    <n v="3254100"/>
    <m/>
    <n v="3254100"/>
    <m/>
    <n v="3254100"/>
    <m/>
    <n v="3254100"/>
    <m/>
    <n v="3254100"/>
    <m/>
    <n v="6508200"/>
    <m/>
    <m/>
    <n v="35144280"/>
    <n v="35144280"/>
    <n v="0"/>
    <n v="0"/>
    <n v="0"/>
  </r>
  <r>
    <x v="0"/>
    <x v="4"/>
    <s v="Energía"/>
    <s v="Si"/>
    <n v="15"/>
    <s v="150-52"/>
    <s v="1 - Aumentar señales de expansión y cobertura del servicio de energía eléctrica."/>
    <x v="10"/>
    <x v="18"/>
    <n v="80111620"/>
    <x v="9"/>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m/>
    <m/>
    <n v="68536800"/>
    <n v="68536800"/>
    <n v="0"/>
    <n v="0"/>
    <n v="0"/>
  </r>
  <r>
    <x v="0"/>
    <x v="4"/>
    <s v="Energía"/>
    <s v="Si"/>
    <n v="20"/>
    <s v="150-53"/>
    <s v="1 - Aumentar señales de expansión y cobertura del servicio de energía eléctrica."/>
    <x v="10"/>
    <x v="18"/>
    <n v="80111620"/>
    <x v="9"/>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m/>
    <m/>
    <n v="67902200"/>
    <n v="67902200"/>
    <n v="0"/>
    <n v="0"/>
    <n v="0"/>
  </r>
  <r>
    <x v="0"/>
    <x v="4"/>
    <s v="Energía"/>
    <s v="Si"/>
    <n v="20"/>
    <s v="150-54"/>
    <s v="1 - Aumentar señales de expansión y cobertura del servicio de energía eléctrica."/>
    <x v="10"/>
    <x v="18"/>
    <n v="80111620"/>
    <x v="9"/>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m/>
    <m/>
    <n v="53300380"/>
    <n v="53300380"/>
    <n v="0"/>
    <n v="0"/>
    <n v="0"/>
  </r>
  <r>
    <x v="0"/>
    <x v="4"/>
    <s v="Energía"/>
    <s v="Si"/>
    <n v="15"/>
    <s v="150-55"/>
    <s v="1 - Aumentar señales de expansión y cobertura del servicio de energía eléctrica."/>
    <x v="10"/>
    <x v="18"/>
    <n v="80111620"/>
    <x v="9"/>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m/>
    <m/>
    <n v="10400000"/>
    <n v="10400000"/>
    <n v="0"/>
    <n v="0"/>
    <n v="0"/>
  </r>
  <r>
    <x v="0"/>
    <x v="4"/>
    <s v="Energía"/>
    <s v="Si"/>
    <n v="15"/>
    <s v="150-56"/>
    <s v="1 - Aumentar señales de expansión y cobertura del servicio de energía eléctrica."/>
    <x v="10"/>
    <x v="18"/>
    <n v="80111620"/>
    <x v="9"/>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m/>
    <m/>
    <n v="19221955"/>
    <n v="19221955"/>
    <n v="0"/>
    <n v="0"/>
    <n v="0"/>
  </r>
  <r>
    <x v="0"/>
    <x v="4"/>
    <s v="Energía"/>
    <s v="Si"/>
    <n v="15"/>
    <s v="150-57"/>
    <s v="1 - Aumentar señales de expansión y cobertura del servicio de energía eléctrica."/>
    <x v="10"/>
    <x v="18"/>
    <n v="80111620"/>
    <x v="9"/>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m/>
    <m/>
    <n v="19221955"/>
    <n v="19221955"/>
    <n v="0"/>
    <n v="0"/>
    <n v="0"/>
  </r>
  <r>
    <x v="0"/>
    <x v="4"/>
    <s v="Energía"/>
    <s v="Si"/>
    <n v="28"/>
    <s v="150-58"/>
    <s v="2 - Aumentar la oportunidad en la definición de obras y ejecución de los procesos de convocatorias."/>
    <x v="11"/>
    <x v="20"/>
    <n v="80111620"/>
    <x v="10"/>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m/>
    <m/>
    <n v="52416881"/>
    <n v="52416881"/>
    <n v="0"/>
    <n v="0"/>
    <n v="0"/>
  </r>
  <r>
    <x v="0"/>
    <x v="4"/>
    <s v="Energía"/>
    <s v="Si"/>
    <n v="15"/>
    <s v="150-59"/>
    <s v="1 - Aumentar señales de expansión y cobertura del servicio de energía eléctrica"/>
    <x v="10"/>
    <x v="18"/>
    <n v="43233501"/>
    <x v="9"/>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m/>
    <m/>
    <n v="41647648"/>
    <n v="41647648"/>
    <n v="0"/>
    <n v="0"/>
    <n v="0"/>
  </r>
  <r>
    <x v="0"/>
    <x v="4"/>
    <s v="Energía"/>
    <s v="Si"/>
    <n v="47"/>
    <s v="150-60"/>
    <s v="1 - Aumentar señales de expansión y cobertura del servicio de energía eléctrica"/>
    <x v="10"/>
    <x v="18"/>
    <n v="43233600"/>
    <x v="9"/>
    <s v="Prestación de servicios profesionales y/o de apoyo a la gestión"/>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n v="95831166"/>
    <m/>
    <m/>
    <n v="95831166"/>
    <m/>
    <m/>
    <m/>
    <m/>
    <n v="95831166"/>
    <n v="95831166"/>
    <n v="0"/>
    <n v="0"/>
    <n v="0"/>
  </r>
  <r>
    <x v="0"/>
    <x v="4"/>
    <s v="Energía"/>
    <s v="Si"/>
    <n v="48"/>
    <s v="150-61"/>
    <s v="1 - Aumentar señales de expansión y cobertura del servicio de energía eléctrica"/>
    <x v="10"/>
    <x v="18"/>
    <n v="80111620"/>
    <x v="9"/>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m/>
    <m/>
    <n v="16000000"/>
    <m/>
    <m/>
    <n v="16000000"/>
    <m/>
    <m/>
    <n v="16000000"/>
    <n v="16000000"/>
    <n v="0"/>
    <n v="0"/>
    <n v="0"/>
  </r>
  <r>
    <x v="0"/>
    <x v="4"/>
    <s v="Energía"/>
    <s v="Si"/>
    <n v="16"/>
    <s v="150-62"/>
    <s v="1 - Aumentar señales de expansión y cobertura del servicio de energía eléctrica"/>
    <x v="10"/>
    <x v="18"/>
    <n v="80111620"/>
    <x v="9"/>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Octubre"/>
    <s v="Octubre"/>
    <s v="Octubre"/>
    <n v="2"/>
    <s v="Meses"/>
    <s v="Contratación directa - Prestación de servicios profesionales"/>
    <s v="Propios - 20 - Ingresos corrientes"/>
    <n v="14032000"/>
    <n v="14032000"/>
    <s v="No"/>
    <s v="N/A"/>
    <s v="Jose Lenin Morillo Carrillo"/>
    <s v="Subdirector de Energía Eléctrica"/>
    <n v="6012220601"/>
    <s v="jose.morillo@upme.gov.co"/>
    <m/>
    <m/>
    <m/>
    <m/>
    <m/>
    <m/>
    <m/>
    <m/>
    <m/>
    <m/>
    <m/>
    <m/>
    <m/>
    <m/>
    <m/>
    <m/>
    <m/>
    <m/>
    <m/>
    <m/>
    <n v="14032000"/>
    <m/>
    <m/>
    <n v="14032000"/>
    <m/>
    <m/>
    <n v="14032000"/>
    <n v="14032000"/>
    <n v="0"/>
    <n v="0"/>
    <n v="0"/>
  </r>
  <r>
    <x v="0"/>
    <x v="4"/>
    <s v="Energía"/>
    <s v="Si"/>
    <n v="16"/>
    <s v="150-63"/>
    <s v="1 - Aumentar señales de expansión y cobertura del servicio de energía eléctrica"/>
    <x v="10"/>
    <x v="18"/>
    <n v="80111620"/>
    <x v="9"/>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Octubre"/>
    <s v="Octubre"/>
    <s v="Octubre"/>
    <n v="2"/>
    <s v="Meses"/>
    <s v="Contratación directa - Prestación de servicios profesionales"/>
    <s v="Propios - 20 - Ingresos corrientes"/>
    <n v="6258000"/>
    <n v="6258000"/>
    <s v="No"/>
    <s v="N/A"/>
    <s v="Jose Lenin Morillo Carrillo"/>
    <s v="Subdirector de Energía Eléctrica"/>
    <n v="6012220601"/>
    <s v="jose.morillo@upme.gov.co"/>
    <m/>
    <m/>
    <m/>
    <m/>
    <m/>
    <m/>
    <m/>
    <m/>
    <m/>
    <m/>
    <m/>
    <m/>
    <m/>
    <m/>
    <m/>
    <m/>
    <m/>
    <m/>
    <m/>
    <m/>
    <n v="6258000"/>
    <n v="3129000"/>
    <m/>
    <n v="3129000"/>
    <m/>
    <m/>
    <n v="6258000"/>
    <n v="6258000"/>
    <n v="0"/>
    <n v="0"/>
    <n v="0"/>
  </r>
  <r>
    <x v="0"/>
    <x v="4"/>
    <s v="Energía"/>
    <s v="Si"/>
    <n v="16"/>
    <s v="150-64"/>
    <s v="1 - Aumentar señales de expansión y cobertura del servicio de energía eléctrica"/>
    <x v="10"/>
    <x v="18"/>
    <n v="80111620"/>
    <x v="9"/>
    <s v="Prestación de servicios profesionales y/o de apoyo a la gestión"/>
    <s v="150-64 Prestar servicios profesionales para apoyar la actualización de las herramientas ofimaticas del grupo de generación y cobertura, así como participar de los análisis para el plan de generación "/>
    <s v="Octubre"/>
    <s v="Octubre"/>
    <s v="Octu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m/>
    <m/>
    <n v="9970000"/>
    <n v="4985000"/>
    <m/>
    <n v="4985000"/>
    <m/>
    <m/>
    <n v="9970000"/>
    <n v="9970000"/>
    <n v="0"/>
    <n v="0"/>
    <n v="0"/>
  </r>
  <r>
    <x v="0"/>
    <x v="4"/>
    <s v="Energía"/>
    <s v="Si"/>
    <n v="46"/>
    <s v="150-65"/>
    <s v="1 - Aumentar señales de expansión y cobertura del servicio de energía eléctrica"/>
    <x v="10"/>
    <x v="18"/>
    <n v="80111620"/>
    <x v="9"/>
    <s v="Prestación de servicios profesionales y/o de apoyo a la gestión"/>
    <s v="150-65 Prestar servicios profesionales para adelantar el análisis y procesamiento de la información tecnica relacionada con el desarrollo y la ejecución de los proyectos de transmisión objeto de convocatoria pública en la etapa de ejecución"/>
    <s v="Octubre"/>
    <s v="Octubre"/>
    <s v="Octubre"/>
    <n v="2"/>
    <s v="Meses"/>
    <s v="Contratación directa - Prestación de servicios profesionales"/>
    <s v="Propios - 20 - Ingresos corrientes"/>
    <n v="4331963"/>
    <n v="4331963"/>
    <s v="No"/>
    <s v="N/A"/>
    <s v="Jose Lenin Morillo Carrillo"/>
    <s v="Subdirector de Energía Eléctrica"/>
    <n v="6012220601"/>
    <s v="jose.morillo@upme.gov.co"/>
    <m/>
    <m/>
    <m/>
    <m/>
    <m/>
    <m/>
    <m/>
    <m/>
    <m/>
    <m/>
    <m/>
    <m/>
    <m/>
    <m/>
    <m/>
    <m/>
    <m/>
    <m/>
    <m/>
    <m/>
    <n v="4331963"/>
    <n v="4331963"/>
    <m/>
    <m/>
    <m/>
    <m/>
    <n v="4331963"/>
    <n v="4331963"/>
    <n v="0"/>
    <n v="0"/>
    <n v="0"/>
  </r>
  <r>
    <x v="0"/>
    <x v="4"/>
    <s v="Energía"/>
    <s v="Si"/>
    <n v="28"/>
    <s v="150-66"/>
    <s v="1 - Aumentar señales de expansión y cobertura del servicio de energía eléctrica"/>
    <x v="10"/>
    <x v="18"/>
    <n v="80111620"/>
    <x v="9"/>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m/>
    <m/>
    <n v="81066666"/>
    <n v="81066666"/>
    <n v="0"/>
    <n v="0"/>
    <n v="0"/>
  </r>
  <r>
    <x v="0"/>
    <x v="4"/>
    <s v="Energía"/>
    <s v="Si"/>
    <n v="46"/>
    <s v="150-67"/>
    <s v="1 - Aumentar señales de expansión y cobertura del servicio de energía eléctrica"/>
    <x v="10"/>
    <x v="18"/>
    <n v="81111801"/>
    <x v="9"/>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m/>
    <m/>
    <n v="20693526"/>
    <n v="20693526"/>
    <n v="0"/>
    <n v="0"/>
    <n v="0"/>
  </r>
  <r>
    <x v="0"/>
    <x v="4"/>
    <s v="Energía"/>
    <s v="Si"/>
    <n v="46"/>
    <s v="150-68"/>
    <s v="2 - Aumentar la oportunidad en la definición de obras y ejecución de los procesos de convocatorias."/>
    <x v="11"/>
    <x v="20"/>
    <n v="81111801"/>
    <x v="10"/>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n v="3941700"/>
    <m/>
    <m/>
    <m/>
    <m/>
    <n v="3941700"/>
    <n v="3941700"/>
    <n v="0"/>
    <n v="0"/>
    <n v="0"/>
  </r>
  <r>
    <x v="0"/>
    <x v="4"/>
    <s v="Energía"/>
    <s v="Si"/>
    <n v="42"/>
    <s v="150-69"/>
    <s v="1 - Aumentar señales de expansión y cobertura del servicio de energía eléctrica"/>
    <x v="10"/>
    <x v="18"/>
    <n v="80111620"/>
    <x v="9"/>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Septiembre"/>
    <s v="Octubre"/>
    <s v="Noviembre"/>
    <n v="8"/>
    <s v="Meses"/>
    <s v="Contratación directa - Prestación de servicios profesionales"/>
    <s v="Propios - 20 - Ingresos corrientes"/>
    <n v="426834"/>
    <n v="426834"/>
    <s v="No"/>
    <s v="N/A"/>
    <s v="Jose Lenin Morillo Carrillo"/>
    <s v="Subdirector de Energía Eléctrica"/>
    <n v="6012220601"/>
    <s v="jose.morillo@upme.gov.co"/>
    <m/>
    <m/>
    <m/>
    <m/>
    <m/>
    <m/>
    <m/>
    <m/>
    <m/>
    <m/>
    <m/>
    <m/>
    <m/>
    <m/>
    <m/>
    <m/>
    <m/>
    <m/>
    <m/>
    <m/>
    <m/>
    <m/>
    <m/>
    <m/>
    <n v="426834"/>
    <n v="426834"/>
    <n v="426834"/>
    <n v="426834"/>
    <n v="0"/>
    <n v="0"/>
    <n v="0"/>
  </r>
  <r>
    <x v="0"/>
    <x v="4"/>
    <s v="Energía"/>
    <s v="Si"/>
    <n v="42"/>
    <s v="150-70"/>
    <s v="1 - Aumentar señales de expansión y cobertura del servicio de energía eléctrica"/>
    <x v="10"/>
    <x v="18"/>
    <n v="80111620"/>
    <x v="9"/>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Septiembre"/>
    <s v="Septiembre"/>
    <s v="Octubre"/>
    <n v="3"/>
    <s v="Meses"/>
    <s v="Contratación directa - Prestación de servicios profesionales"/>
    <s v="Propios - 20 - Ingresos corrientes"/>
    <n v="29862638"/>
    <n v="29862638"/>
    <s v="No"/>
    <s v="N/A"/>
    <s v="Jose Lenin Morillo Carrillo"/>
    <s v="Subdirector de Energía Eléctrica"/>
    <n v="6012220601"/>
    <s v="jose.morillo@upme.gov.co"/>
    <m/>
    <m/>
    <m/>
    <m/>
    <m/>
    <m/>
    <m/>
    <m/>
    <m/>
    <m/>
    <m/>
    <m/>
    <m/>
    <m/>
    <m/>
    <m/>
    <m/>
    <m/>
    <m/>
    <m/>
    <n v="29862638"/>
    <n v="7465659.5"/>
    <m/>
    <n v="22396978.5"/>
    <m/>
    <m/>
    <n v="29862638"/>
    <n v="29862638"/>
    <n v="0"/>
    <n v="0"/>
    <n v="0"/>
  </r>
  <r>
    <x v="0"/>
    <x v="4"/>
    <s v="Energía"/>
    <s v="Si"/>
    <n v="20"/>
    <s v="150-71"/>
    <s v="1 - Aumentar señales de expansión y cobertura del servicio de energía eléctrica"/>
    <x v="10"/>
    <x v="18"/>
    <s v="78102203;78102206"/>
    <x v="9"/>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n v="6250000"/>
    <m/>
    <n v="6250000"/>
    <m/>
    <n v="28453300"/>
    <m/>
    <m/>
    <n v="45994500"/>
    <n v="45994500"/>
    <n v="0"/>
    <n v="0"/>
    <n v="0"/>
  </r>
  <r>
    <x v="0"/>
    <x v="4"/>
    <s v="Energía"/>
    <s v="Si"/>
    <n v="20"/>
    <s v="150-72"/>
    <s v="2 - Aumentar la oportunidad en la definición de obras y ejecución de los procesos de convocatorias."/>
    <x v="11"/>
    <x v="20"/>
    <s v="78102203;78102206"/>
    <x v="10"/>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m/>
    <m/>
    <n v="4005500"/>
    <n v="4005500"/>
    <n v="0"/>
    <n v="0"/>
    <n v="0"/>
  </r>
  <r>
    <x v="0"/>
    <x v="4"/>
    <s v="Energía"/>
    <s v="Si"/>
    <n v="37"/>
    <s v="150-73"/>
    <s v="1 - Aumentar señales de expansión y cobertura del servicio de energía eléctrica."/>
    <x v="10"/>
    <x v="18"/>
    <n v="80111620"/>
    <x v="9"/>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m/>
    <m/>
    <n v="1144453"/>
    <n v="1144453"/>
    <n v="0"/>
    <n v="0"/>
    <n v="0"/>
  </r>
  <r>
    <x v="0"/>
    <x v="4"/>
    <s v="Energía"/>
    <s v="Si"/>
    <n v="33"/>
    <s v="150-74"/>
    <s v="1 - Aumentar señales de expansión y cobertura del servicio de energía eléctrica"/>
    <x v="10"/>
    <x v="18"/>
    <n v="55101519"/>
    <x v="9"/>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000000"/>
    <m/>
    <n v="1000000"/>
    <m/>
    <n v="3000000"/>
    <m/>
    <m/>
    <n v="5000000"/>
    <n v="5000000"/>
    <n v="0"/>
    <n v="0"/>
    <n v="0"/>
  </r>
  <r>
    <x v="0"/>
    <x v="4"/>
    <s v="Energía"/>
    <s v="Si"/>
    <n v="37"/>
    <s v="150-75"/>
    <s v="2 - Aumentar la oportunidad en la definición de obras y ejecución de los procesos de convocatorias."/>
    <x v="11"/>
    <x v="19"/>
    <n v="80111620"/>
    <x v="10"/>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6358400"/>
    <n v="6358400"/>
    <s v="No"/>
    <s v="N/A"/>
    <s v="Carlos Alberto Rodriguez"/>
    <s v="Subdirector de Energía Eléctrica "/>
    <n v="6012220601"/>
    <s v="carlos.rodriguez@upme.gov.co"/>
    <m/>
    <m/>
    <m/>
    <m/>
    <m/>
    <m/>
    <m/>
    <m/>
    <m/>
    <m/>
    <m/>
    <m/>
    <m/>
    <m/>
    <m/>
    <m/>
    <n v="291733"/>
    <m/>
    <m/>
    <n v="291733"/>
    <m/>
    <m/>
    <m/>
    <m/>
    <n v="6066667"/>
    <n v="6066667"/>
    <n v="6358400"/>
    <n v="6358400"/>
    <n v="0"/>
    <n v="0"/>
    <n v="0"/>
  </r>
  <r>
    <x v="0"/>
    <x v="4"/>
    <s v="Energía"/>
    <s v="Si"/>
    <n v="46"/>
    <s v="150-76"/>
    <s v="1 - Aumentar señales de expansión y cobertura del servicio de energía eléctrica"/>
    <x v="10"/>
    <x v="18"/>
    <n v="80111620"/>
    <x v="9"/>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660400"/>
    <m/>
    <n v="660400"/>
    <m/>
    <n v="1320800"/>
    <m/>
    <m/>
    <n v="2641600"/>
    <n v="2641600"/>
    <n v="0"/>
    <n v="0"/>
    <n v="0"/>
  </r>
  <r>
    <x v="0"/>
    <x v="4"/>
    <s v="Energía"/>
    <s v="Si"/>
    <n v="39"/>
    <s v="150-77"/>
    <s v="1 - Aumentar señales de expansión y cobertura del servicio de energía eléctrica"/>
    <x v="10"/>
    <x v="18"/>
    <n v="81112501"/>
    <x v="9"/>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n v="60000000"/>
    <m/>
    <n v="60000000"/>
    <m/>
    <n v="60000000"/>
    <m/>
    <m/>
    <n v="180000000"/>
    <n v="180000000"/>
    <n v="0"/>
    <n v="0"/>
    <n v="0"/>
  </r>
  <r>
    <x v="0"/>
    <x v="4"/>
    <s v="Energía"/>
    <s v="Si"/>
    <n v="42"/>
    <s v="150-78"/>
    <s v="2 - Aumentar la oportunidad en la definición de obras y ejecución de los procesos de convocatorias."/>
    <x v="11"/>
    <x v="20"/>
    <n v="81112501"/>
    <x v="10"/>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Septiembre"/>
    <s v="Octubre"/>
    <s v="Noviembre"/>
    <n v="12"/>
    <s v="Meses"/>
    <s v="Contratación directa"/>
    <s v="Propios - 20 - Ingresos corrientes"/>
    <n v="7084417"/>
    <n v="7084417"/>
    <s v="No"/>
    <s v="N/A"/>
    <s v="Carlos Alberto Rodriguez"/>
    <s v="Subdirector de Energía Eléctrica "/>
    <n v="6012220601"/>
    <s v="carlos.rodriguez@upme.gov.co"/>
    <m/>
    <m/>
    <m/>
    <m/>
    <m/>
    <m/>
    <m/>
    <m/>
    <m/>
    <m/>
    <m/>
    <m/>
    <m/>
    <m/>
    <m/>
    <m/>
    <m/>
    <m/>
    <m/>
    <m/>
    <n v="7084417"/>
    <m/>
    <m/>
    <n v="7084417"/>
    <m/>
    <m/>
    <n v="7084417"/>
    <n v="7084417"/>
    <n v="0"/>
    <n v="0"/>
    <n v="0"/>
  </r>
  <r>
    <x v="0"/>
    <x v="4"/>
    <s v="Energía"/>
    <s v="Si"/>
    <n v="44"/>
    <s v="150-79"/>
    <s v="1 - Aumentar señales de expansión y cobertura del servicio de energía eléctrica"/>
    <x v="10"/>
    <x v="18"/>
    <n v="80111620"/>
    <x v="9"/>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9600000"/>
    <n v="19600000"/>
    <s v="No"/>
    <s v="N/A"/>
    <s v="Carlos Alberto Rodriguez"/>
    <s v="Subdirector de Energía Eléctrica "/>
    <n v="6012220601"/>
    <s v="carlos.rodriguez@upme.gov.co"/>
    <m/>
    <m/>
    <m/>
    <m/>
    <m/>
    <m/>
    <m/>
    <m/>
    <m/>
    <m/>
    <m/>
    <m/>
    <m/>
    <m/>
    <m/>
    <m/>
    <m/>
    <m/>
    <n v="19600000"/>
    <m/>
    <m/>
    <n v="6000000"/>
    <m/>
    <n v="13600000"/>
    <m/>
    <m/>
    <n v="19600000"/>
    <n v="19600000"/>
    <n v="0"/>
    <n v="0"/>
    <n v="0"/>
  </r>
  <r>
    <x v="0"/>
    <x v="4"/>
    <s v="Energía"/>
    <s v="Si"/>
    <n v="46"/>
    <s v="150-80"/>
    <s v="1 - Aumentar señales de expansión y cobertura del servicio de energía eléctrica"/>
    <x v="10"/>
    <x v="18"/>
    <n v="81112003"/>
    <x v="9"/>
    <s v="Software - Licencias"/>
    <s v="150-80 Adquirir el servicio de nube para Backup y DRP"/>
    <s v="Septiembre"/>
    <s v="Octubre"/>
    <s v="Octubre"/>
    <n v="12"/>
    <s v="Meses"/>
    <s v="Seléccion abreviada - acuerdo marco"/>
    <s v="Propios - 20 - Ingresos corrientes"/>
    <n v="10058411"/>
    <n v="10058411"/>
    <s v="No"/>
    <s v="N/A"/>
    <s v="Carlos Alberto Rodriguez"/>
    <s v="Subdirector de Energía Eléctrica "/>
    <n v="6012220601"/>
    <s v="carlos.rodriguez@upme.gov.co"/>
    <m/>
    <m/>
    <m/>
    <m/>
    <m/>
    <m/>
    <m/>
    <m/>
    <m/>
    <m/>
    <m/>
    <m/>
    <m/>
    <m/>
    <m/>
    <m/>
    <m/>
    <m/>
    <n v="10058411"/>
    <m/>
    <m/>
    <m/>
    <m/>
    <n v="10058411"/>
    <m/>
    <m/>
    <n v="10058411"/>
    <n v="10058411"/>
    <n v="0"/>
    <n v="0"/>
    <n v="0"/>
  </r>
  <r>
    <x v="0"/>
    <x v="4"/>
    <s v="Energía"/>
    <s v="Si"/>
    <n v="46"/>
    <s v="150-81"/>
    <s v="1 - Aumentar señales de expansión y cobertura del servicio de energía eléctrica"/>
    <x v="10"/>
    <x v="18"/>
    <n v="81112210"/>
    <x v="9"/>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m/>
    <m/>
    <n v="10000000"/>
    <n v="10000000"/>
    <n v="0"/>
    <n v="0"/>
    <n v="0"/>
  </r>
  <r>
    <x v="0"/>
    <x v="4"/>
    <s v="Energía"/>
    <s v="Si"/>
    <n v="47"/>
    <s v="150-82"/>
    <s v="2 - Aumentar la oportunidad en la definición de obras y ejecución de los procesos de convocatorias."/>
    <x v="11"/>
    <x v="20"/>
    <n v="43233600"/>
    <x v="10"/>
    <s v="Software - Licencias"/>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Contratación directa"/>
    <s v="Propios - 20 - Ingresos corrientes"/>
    <n v="14168834"/>
    <n v="14168834"/>
    <s v="No"/>
    <s v="N/A"/>
    <s v="Carlos Alberto Rodriguez"/>
    <s v="Subdirector de Energía Eléctrica "/>
    <n v="6012220601"/>
    <s v="carlos.rodriguez@upme.gov.co"/>
    <m/>
    <m/>
    <m/>
    <m/>
    <m/>
    <m/>
    <m/>
    <m/>
    <m/>
    <m/>
    <m/>
    <m/>
    <m/>
    <m/>
    <m/>
    <m/>
    <m/>
    <m/>
    <n v="14168834"/>
    <m/>
    <m/>
    <n v="14168834"/>
    <m/>
    <m/>
    <m/>
    <m/>
    <n v="14168834"/>
    <n v="14168834"/>
    <n v="0"/>
    <n v="0"/>
    <n v="0"/>
  </r>
  <r>
    <x v="0"/>
    <x v="5"/>
    <s v="Minería"/>
    <s v="Si"/>
    <s v="75 (30/12/2024)"/>
    <s v="140-1"/>
    <s v="2 - Ampliar el conocimiento de los encadenamientos productivos asociados a la actividad minera por parte de los actores del sector."/>
    <x v="12"/>
    <x v="21"/>
    <n v="80111620"/>
    <x v="11"/>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m/>
    <m/>
    <n v="103500000"/>
    <n v="103500000"/>
    <n v="0"/>
    <n v="0"/>
    <n v="0"/>
  </r>
  <r>
    <x v="0"/>
    <x v="5"/>
    <s v="Minería"/>
    <s v="Si"/>
    <s v="75 (30/12/2024)"/>
    <s v="140-2"/>
    <s v="2 - Ampliar el conocimiento de los encadenamientos productivos asociados a la actividad minera por parte de los actores del sector."/>
    <x v="12"/>
    <x v="21"/>
    <n v="80111620"/>
    <x v="11"/>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m/>
    <m/>
    <n v="26000000"/>
    <n v="26000000"/>
    <n v="0"/>
    <n v="0"/>
    <n v="0"/>
  </r>
  <r>
    <x v="0"/>
    <x v="5"/>
    <s v="Minería"/>
    <s v="Si"/>
    <n v="29"/>
    <s v="140-3"/>
    <s v="2 - Ampliar el conocimiento de los encadenamientos productivos asociados a la actividad minera por parte de los actores del sector."/>
    <x v="12"/>
    <x v="21"/>
    <n v="80111620"/>
    <x v="11"/>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9279267"/>
    <n v="89279267"/>
    <s v="No"/>
    <s v="N/A"/>
    <s v="Olga Tatiana Araque"/>
    <s v="Subdirector de Minería"/>
    <n v="6012220601"/>
    <s v="olga.araque@upme.gov.co"/>
    <n v="81279263"/>
    <m/>
    <m/>
    <n v="3769473"/>
    <m/>
    <n v="7067762"/>
    <m/>
    <n v="7067762"/>
    <m/>
    <n v="7067762"/>
    <m/>
    <n v="7067762"/>
    <m/>
    <n v="7067762"/>
    <n v="8000000"/>
    <n v="7067762"/>
    <m/>
    <n v="9488328"/>
    <m/>
    <n v="10067762"/>
    <m/>
    <n v="9567762"/>
    <n v="4"/>
    <n v="13979370"/>
    <m/>
    <m/>
    <n v="89279267"/>
    <n v="89279267"/>
    <n v="0"/>
    <n v="0"/>
    <n v="0"/>
  </r>
  <r>
    <x v="0"/>
    <x v="5"/>
    <s v="Minería"/>
    <s v="Si"/>
    <n v="16"/>
    <s v="140-4"/>
    <s v="2 - Ampliar el conocimiento de los encadenamientos productivos asociados a la actividad minera por parte de los actores del sector."/>
    <x v="12"/>
    <x v="21"/>
    <n v="80111620"/>
    <x v="11"/>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m/>
    <m/>
    <n v="13122900"/>
    <n v="13122900"/>
    <n v="0"/>
    <n v="0"/>
    <n v="0"/>
  </r>
  <r>
    <x v="0"/>
    <x v="5"/>
    <s v="Minería"/>
    <s v="Si"/>
    <n v="45"/>
    <s v="140-5"/>
    <s v="2 - Ampliar el conocimiento de los encadenamientos productivos asociados a la actividad minera por parte de los actores del sector."/>
    <x v="12"/>
    <x v="21"/>
    <s v="N/A"/>
    <x v="11"/>
    <s v="Prestación de servicios profesionales y/o de apoyo a la gestión"/>
    <s v="140-5 Prestar servicios profesionales para la divulgación y socialización de los procesos, planes y documentos de la Subdirección de Minería"/>
    <s v="Septiembre"/>
    <s v="Octubre"/>
    <s v="Noviembre"/>
    <n v="3"/>
    <s v="Meses"/>
    <s v="Contratación directa"/>
    <s v="Propios - 20 - Ingresos corrientes"/>
    <n v="4600000"/>
    <n v="4600000"/>
    <s v="No"/>
    <s v="N/A"/>
    <s v="Olga Tatiana Araque"/>
    <s v="Subdirector de Minería"/>
    <n v="6012220601"/>
    <s v="olga.araque@upme.gov.co"/>
    <m/>
    <m/>
    <m/>
    <m/>
    <m/>
    <m/>
    <m/>
    <m/>
    <m/>
    <m/>
    <m/>
    <m/>
    <m/>
    <m/>
    <m/>
    <m/>
    <m/>
    <m/>
    <n v="4600000"/>
    <m/>
    <m/>
    <m/>
    <m/>
    <n v="4600000"/>
    <m/>
    <m/>
    <n v="4600000"/>
    <n v="4600000"/>
    <n v="0"/>
    <n v="0"/>
    <n v="0"/>
  </r>
  <r>
    <x v="0"/>
    <x v="5"/>
    <s v="Minería"/>
    <s v="Si"/>
    <n v="45"/>
    <s v="140-6"/>
    <s v="2 - Ampliar el conocimiento de los encadenamientos productivos asociados a la actividad minera por parte de los actores del sector."/>
    <x v="12"/>
    <x v="18"/>
    <s v="N/A"/>
    <x v="11"/>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20447305"/>
    <n v="20447305"/>
    <s v="No"/>
    <s v="N/A"/>
    <s v="Olga Tatiana Araque"/>
    <s v="Subdirector de Minería"/>
    <n v="6012220601"/>
    <s v="olga.araque@upme.gov.co"/>
    <m/>
    <m/>
    <m/>
    <m/>
    <m/>
    <m/>
    <m/>
    <m/>
    <n v="6443381"/>
    <n v="6443381"/>
    <n v="1315736"/>
    <n v="1069794"/>
    <n v="5372495"/>
    <n v="5121102"/>
    <n v="1186328"/>
    <n v="251393"/>
    <n v="5869900"/>
    <n v="7056228"/>
    <n v="259465"/>
    <n v="505407"/>
    <m/>
    <m/>
    <m/>
    <m/>
    <m/>
    <m/>
    <n v="20447305"/>
    <n v="20447305"/>
    <n v="0"/>
    <n v="0"/>
    <n v="0"/>
  </r>
  <r>
    <x v="0"/>
    <x v="5"/>
    <s v="Minería"/>
    <s v="Si"/>
    <n v="18"/>
    <s v="140-7"/>
    <s v="2 - Ampliar el conocimiento de los encadenamientos productivos asociados a la actividad minera por parte de los actores del sector."/>
    <x v="12"/>
    <x v="18"/>
    <n v="80111620"/>
    <x v="11"/>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m/>
    <m/>
    <n v="87893680"/>
    <n v="87893680"/>
    <n v="0"/>
    <n v="0"/>
    <n v="0"/>
  </r>
  <r>
    <x v="0"/>
    <x v="5"/>
    <s v="Minería"/>
    <s v="Si"/>
    <n v="2"/>
    <s v="140-8"/>
    <s v="2 - Ampliar el conocimiento de los encadenamientos productivos asociados a la actividad minera por parte de los actores del sector."/>
    <x v="12"/>
    <x v="22"/>
    <n v="78111502"/>
    <x v="11"/>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2000000"/>
    <m/>
    <n v="2200000"/>
    <m/>
    <n v="3721107"/>
    <m/>
    <m/>
    <n v="17341466"/>
    <n v="17341466"/>
    <n v="0"/>
    <n v="0"/>
    <n v="0"/>
  </r>
  <r>
    <x v="0"/>
    <x v="5"/>
    <s v="Minería"/>
    <s v="Si"/>
    <n v="5"/>
    <s v="140-9"/>
    <s v="2 - Ampliar el conocimiento de los encadenamientos productivos asociados a la actividad minera por parte de los actores del sector."/>
    <x v="12"/>
    <x v="22"/>
    <n v="80111620"/>
    <x v="11"/>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7724300"/>
    <n v="127724300"/>
    <s v="No"/>
    <s v="N/A"/>
    <s v="Olga Tatiana Araque"/>
    <s v="Subdirector de Minería"/>
    <n v="6012220601"/>
    <s v="olga.araque@upme.gov.co"/>
    <m/>
    <m/>
    <n v="81279100"/>
    <m/>
    <n v="44122940"/>
    <n v="9289040"/>
    <m/>
    <n v="11611300"/>
    <m/>
    <n v="11611300"/>
    <m/>
    <n v="11611300"/>
    <m/>
    <n v="11611300"/>
    <m/>
    <n v="11611300"/>
    <m/>
    <n v="11611300"/>
    <m/>
    <n v="11611300"/>
    <m/>
    <n v="11611300"/>
    <n v="2322260"/>
    <n v="25544860"/>
    <m/>
    <m/>
    <n v="127724300"/>
    <n v="127724300"/>
    <n v="0"/>
    <n v="0"/>
    <n v="0"/>
  </r>
  <r>
    <x v="0"/>
    <x v="5"/>
    <s v="Minería"/>
    <s v="Si"/>
    <n v="5"/>
    <s v="140-10"/>
    <s v="2 - Ampliar el conocimiento de los encadenamientos productivos asociados a la actividad minera por parte de los actores del sector."/>
    <x v="12"/>
    <x v="22"/>
    <n v="80111620"/>
    <x v="11"/>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m/>
    <m/>
    <n v="70677620"/>
    <n v="70677620"/>
    <n v="0"/>
    <n v="0"/>
    <n v="0"/>
  </r>
  <r>
    <x v="0"/>
    <x v="5"/>
    <s v="Minería"/>
    <s v="Si"/>
    <s v="75 (30/12/2024)"/>
    <s v="140-11"/>
    <s v="2 - Ampliar el conocimiento de los encadenamientos productivos asociados a la actividad minera por parte de los actores del sector."/>
    <x v="12"/>
    <x v="22"/>
    <n v="80111620"/>
    <x v="11"/>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852500"/>
    <n v="49852500"/>
    <s v="No"/>
    <s v="N/A"/>
    <s v="Olga Tatiana Araque"/>
    <s v="Subdirector de Minería"/>
    <n v="6012220601"/>
    <s v="olga.araque@upme.gov.co"/>
    <n v="49852500"/>
    <m/>
    <n v="-144500"/>
    <n v="2023000"/>
    <m/>
    <n v="4335000"/>
    <m/>
    <n v="4335000"/>
    <m/>
    <n v="4335000"/>
    <m/>
    <n v="4335000"/>
    <m/>
    <n v="4335000"/>
    <m/>
    <n v="4335000"/>
    <m/>
    <n v="4335000"/>
    <m/>
    <n v="4335000"/>
    <m/>
    <n v="4335000"/>
    <n v="144500"/>
    <n v="8814500"/>
    <m/>
    <m/>
    <n v="49852500"/>
    <n v="49852500"/>
    <n v="0"/>
    <n v="0"/>
    <n v="0"/>
  </r>
  <r>
    <x v="0"/>
    <x v="5"/>
    <s v="Minería"/>
    <s v="Si"/>
    <n v="18"/>
    <s v="140-12"/>
    <s v="3 - Fortalecer la gestión integral de la información de la planeación minera."/>
    <x v="13"/>
    <x v="23"/>
    <n v="81121503"/>
    <x v="12"/>
    <s v="Estudios"/>
    <s v="140-12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 Contratos interadministrativos"/>
    <s v="Propios - 20 - Ingresos corrientes"/>
    <n v="60000000"/>
    <n v="60000000"/>
    <s v="No"/>
    <s v="N/A"/>
    <s v="Olga Tatiana Araque"/>
    <s v="Subdirector de Minería"/>
    <n v="6012220601"/>
    <s v="olga.araque@upme.gov.co"/>
    <m/>
    <m/>
    <m/>
    <m/>
    <m/>
    <m/>
    <m/>
    <m/>
    <m/>
    <m/>
    <m/>
    <m/>
    <m/>
    <m/>
    <m/>
    <m/>
    <m/>
    <m/>
    <n v="60000000"/>
    <n v="34917708"/>
    <m/>
    <m/>
    <m/>
    <n v="25082292"/>
    <m/>
    <m/>
    <n v="60000000"/>
    <n v="60000000"/>
    <n v="0"/>
    <n v="0"/>
    <n v="0"/>
  </r>
  <r>
    <x v="0"/>
    <x v="5"/>
    <s v="Minería"/>
    <s v="Si"/>
    <n v="5"/>
    <s v="140-13"/>
    <s v="3 - Fortalecer la gestión integral de la información de la planeación minera."/>
    <x v="13"/>
    <x v="23"/>
    <n v="80111620"/>
    <x v="1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m/>
    <m/>
    <n v="100000000"/>
    <n v="100000000"/>
    <n v="0"/>
    <n v="0"/>
    <n v="0"/>
  </r>
  <r>
    <x v="0"/>
    <x v="5"/>
    <s v="Minería"/>
    <s v="Si"/>
    <n v="33"/>
    <s v="140-14"/>
    <s v="3 - Fortalecer la gestión integral de la información de la planeación minera."/>
    <x v="13"/>
    <x v="24"/>
    <n v="93151509"/>
    <x v="1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5"/>
    <m/>
    <m/>
    <n v="-16143585"/>
    <m/>
    <m/>
    <m/>
    <m/>
    <m/>
    <m/>
    <m/>
    <m/>
    <m/>
    <m/>
    <m/>
    <m/>
    <m/>
    <n v="218356415"/>
    <n v="218356415"/>
    <n v="0"/>
    <n v="0"/>
    <n v="0"/>
  </r>
  <r>
    <x v="0"/>
    <x v="5"/>
    <s v="Minería"/>
    <s v="Si"/>
    <n v="33"/>
    <s v="140-15"/>
    <s v="3 - Fortalecer la gestión integral de la información de la planeación minera."/>
    <x v="13"/>
    <x v="24"/>
    <n v="93151510"/>
    <x v="1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m/>
    <m/>
    <m/>
    <m/>
    <n v="376833619.75"/>
    <n v="376833619.75"/>
    <n v="0"/>
    <n v="0.25"/>
    <n v="0.25"/>
  </r>
  <r>
    <x v="0"/>
    <x v="5"/>
    <s v="Minería"/>
    <s v="Si"/>
    <n v="33"/>
    <s v="140-16"/>
    <s v="3 - Fortalecer la gestión integral de la información de la planeación minera."/>
    <x v="13"/>
    <x v="24"/>
    <n v="93151511"/>
    <x v="12"/>
    <s v="Software - Suscripciones"/>
    <s v="140-16 Renovación de la suscripción ONLINE de Baltic Exchange."/>
    <s v="Noviembre"/>
    <s v="Diciembre"/>
    <s v="Diciembre"/>
    <n v="12"/>
    <s v="Meses"/>
    <s v="Contratación directa - único oferente"/>
    <s v="Propios - 20 - Ingresos corrientes"/>
    <n v="43809965"/>
    <n v="43809965"/>
    <s v="No"/>
    <s v="N/A"/>
    <s v="Olga Tatiana Araque"/>
    <s v="Subdirector de Minería"/>
    <n v="6012220601"/>
    <s v="olga.araque@upme.gov.co"/>
    <m/>
    <m/>
    <m/>
    <m/>
    <m/>
    <m/>
    <m/>
    <m/>
    <m/>
    <m/>
    <m/>
    <m/>
    <m/>
    <m/>
    <m/>
    <m/>
    <m/>
    <m/>
    <m/>
    <m/>
    <m/>
    <m/>
    <n v="43809965"/>
    <n v="43809965"/>
    <m/>
    <m/>
    <n v="43809965"/>
    <n v="43809965"/>
    <n v="0"/>
    <n v="0"/>
    <n v="0"/>
  </r>
  <r>
    <x v="0"/>
    <x v="5"/>
    <s v="Minería"/>
    <s v="Si"/>
    <n v="45"/>
    <s v="140-17"/>
    <s v="3 - Fortalecer la gestión integral de la información de la planeación minera."/>
    <x v="13"/>
    <x v="24"/>
    <n v="80101507"/>
    <x v="1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m/>
    <m/>
    <n v="152000000"/>
    <n v="152000000"/>
    <n v="0"/>
    <n v="0"/>
    <n v="0"/>
  </r>
  <r>
    <x v="0"/>
    <x v="5"/>
    <s v="Minería"/>
    <s v="Si"/>
    <n v="45"/>
    <s v="140-18"/>
    <s v="3 - Fortalecer la gestión integral de la información de la planeación minera."/>
    <x v="13"/>
    <x v="25"/>
    <n v="80101507"/>
    <x v="1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n v="195000000"/>
    <m/>
    <m/>
    <m/>
    <m/>
    <n v="195000000"/>
    <n v="195000000"/>
    <n v="0"/>
    <n v="0"/>
    <n v="0"/>
  </r>
  <r>
    <x v="0"/>
    <x v="5"/>
    <s v="Minería"/>
    <s v="Si"/>
    <s v="75 (30/12/2024)"/>
    <s v="140-19"/>
    <s v="2 - Ampliar el conocimiento de los encadenamientos productivos asociados a la actividad minera por parte de los actores del sector."/>
    <x v="12"/>
    <x v="21"/>
    <n v="80111620"/>
    <x v="11"/>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r>
  <r>
    <x v="0"/>
    <x v="5"/>
    <s v="Minería"/>
    <s v="Si"/>
    <s v="75 (30/12/2024)"/>
    <s v="140-20"/>
    <s v="2 - Ampliar el conocimiento de los encadenamientos productivos asociados a la actividad minera por parte de los actores del sector."/>
    <x v="12"/>
    <x v="21"/>
    <n v="80111620"/>
    <x v="11"/>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r>
  <r>
    <x v="0"/>
    <x v="5"/>
    <s v="Minería"/>
    <s v="Si"/>
    <n v="32"/>
    <s v="140-21"/>
    <s v="2 - Ampliar el conocimiento de los encadenamientos productivos asociados a la actividad minera por parte de los actores del sector."/>
    <x v="12"/>
    <x v="22"/>
    <n v="43233501"/>
    <x v="11"/>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n v="13600000"/>
    <m/>
    <m/>
    <m/>
    <m/>
    <m/>
    <m/>
    <n v="13600000"/>
    <n v="13600000"/>
    <n v="0"/>
    <n v="0"/>
    <n v="0"/>
  </r>
  <r>
    <x v="0"/>
    <x v="5"/>
    <s v="Minería"/>
    <s v="Si"/>
    <s v="75 (30/12/2024)"/>
    <s v="140-22"/>
    <s v="2 - Ampliar el conocimiento de los encadenamientos productivos asociados a la actividad minera por parte de los actores del sector."/>
    <x v="12"/>
    <x v="22"/>
    <n v="80111620"/>
    <x v="11"/>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426767"/>
    <n v="31426767"/>
    <s v="No"/>
    <s v="N/A"/>
    <s v="Olga Tatiana Araque"/>
    <s v="Subdirector de Minería"/>
    <n v="6012220601"/>
    <s v="olga.araque@upme.gov.co"/>
    <n v="31333745"/>
    <m/>
    <m/>
    <n v="471184"/>
    <m/>
    <n v="7067762"/>
    <m/>
    <n v="7067762"/>
    <m/>
    <n v="7067762"/>
    <m/>
    <n v="7067762"/>
    <m/>
    <m/>
    <m/>
    <m/>
    <m/>
    <m/>
    <m/>
    <m/>
    <m/>
    <m/>
    <n v="93022"/>
    <n v="2684535"/>
    <m/>
    <m/>
    <n v="31426767"/>
    <n v="31426767"/>
    <n v="0"/>
    <n v="0"/>
    <n v="0"/>
  </r>
  <r>
    <x v="0"/>
    <x v="5"/>
    <s v="Minería"/>
    <s v="Si"/>
    <n v="5"/>
    <s v="140-23"/>
    <s v="2 - Ampliar el conocimiento de los encadenamientos productivos asociados a la actividad minera por parte de los actores del sector"/>
    <x v="12"/>
    <x v="18"/>
    <n v="80111620"/>
    <x v="11"/>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823600"/>
    <n v="31823600"/>
    <s v="No"/>
    <s v="N/A"/>
    <s v="Olga Tatiana Araque"/>
    <s v="Subdirector de Minería"/>
    <n v="6012220601"/>
    <s v="olga.araque@upme.gov.co"/>
    <m/>
    <m/>
    <m/>
    <m/>
    <m/>
    <m/>
    <m/>
    <m/>
    <n v="31333745"/>
    <m/>
    <m/>
    <m/>
    <m/>
    <n v="7067762"/>
    <m/>
    <n v="7067762"/>
    <m/>
    <n v="7067762"/>
    <m/>
    <n v="7067762"/>
    <m/>
    <n v="3552552"/>
    <n v="489855"/>
    <m/>
    <m/>
    <m/>
    <n v="31823600"/>
    <n v="31823600"/>
    <n v="0"/>
    <n v="0"/>
    <n v="0"/>
  </r>
  <r>
    <x v="0"/>
    <x v="5"/>
    <s v="Minería"/>
    <s v="Si"/>
    <n v="5"/>
    <s v="140-24"/>
    <s v="2 - Ampliar el conocimiento de los encadenamientos productivos asociados a la actividad minera por parte de los actores del sector"/>
    <x v="12"/>
    <x v="21"/>
    <n v="80111620"/>
    <x v="11"/>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m/>
    <m/>
    <n v="22007467"/>
    <n v="22007467"/>
    <n v="0"/>
    <n v="0"/>
    <n v="0"/>
  </r>
  <r>
    <x v="0"/>
    <x v="5"/>
    <s v="Minería"/>
    <s v="Si"/>
    <n v="5"/>
    <s v="140-25"/>
    <s v="2 - Ampliar el conocimiento de los encadenamientos productivos asociados a la actividad minera por parte de los actores del sector"/>
    <x v="12"/>
    <x v="22"/>
    <n v="80111620"/>
    <x v="11"/>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m/>
    <m/>
    <n v="9377347"/>
    <n v="9377347"/>
    <n v="0"/>
    <n v="0"/>
    <n v="0"/>
  </r>
  <r>
    <x v="0"/>
    <x v="5"/>
    <s v="Minería"/>
    <s v="Si"/>
    <n v="16"/>
    <s v="140-26"/>
    <s v="2 - Ampliar el conocimiento de los encadenamientos productivos asociados a la actividad minera por parte de los actores del sector"/>
    <x v="12"/>
    <x v="21"/>
    <n v="80111620"/>
    <x v="11"/>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m/>
    <m/>
    <n v="46148900"/>
    <n v="46148900"/>
    <n v="0"/>
    <n v="0"/>
    <n v="0"/>
  </r>
  <r>
    <x v="0"/>
    <x v="5"/>
    <s v="Minería"/>
    <s v="Si"/>
    <n v="18"/>
    <s v="140-27"/>
    <s v="2 - Ampliar el conocimiento de los encadenamientos productivos asociados a la actividad minera por parte de los actores del sector"/>
    <x v="12"/>
    <x v="18"/>
    <n v="81121503"/>
    <x v="11"/>
    <s v="Estudios"/>
    <s v="140-27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Contratos Interadministrativos"/>
    <s v="Propios - 20 - Ingresos corrientes"/>
    <n v="9835415"/>
    <n v="9835415"/>
    <s v="No"/>
    <s v="N/A"/>
    <s v="Olga Tatiana Araque"/>
    <s v="Subdirector de Minería"/>
    <n v="6012220601"/>
    <s v="olga.araque@upme.gov.co"/>
    <m/>
    <m/>
    <m/>
    <m/>
    <m/>
    <m/>
    <m/>
    <m/>
    <m/>
    <m/>
    <m/>
    <m/>
    <m/>
    <m/>
    <m/>
    <m/>
    <m/>
    <m/>
    <n v="9835415"/>
    <m/>
    <m/>
    <m/>
    <m/>
    <n v="9835415"/>
    <m/>
    <m/>
    <n v="9835415"/>
    <n v="9835415"/>
    <n v="0"/>
    <n v="0"/>
    <n v="0"/>
  </r>
  <r>
    <x v="0"/>
    <x v="5"/>
    <s v="Minería"/>
    <s v="Si"/>
    <n v="33"/>
    <s v="140-28"/>
    <s v="3 - Fortalecer la gestión integral de la información de la planeación minera."/>
    <x v="13"/>
    <x v="24"/>
    <n v="55101519"/>
    <x v="1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m/>
    <m/>
    <m/>
    <m/>
    <n v="9000000"/>
    <m/>
    <m/>
    <n v="9000000"/>
    <n v="9000000"/>
    <n v="0"/>
    <n v="0"/>
    <n v="0"/>
  </r>
  <r>
    <x v="0"/>
    <x v="5"/>
    <s v="Minería"/>
    <s v="Si"/>
    <n v="33"/>
    <s v="140-29"/>
    <s v="2 - Ampliar el conocimiento de los encadenamientos productivos asociados a la actividad minera por parte de los actores del sector"/>
    <x v="12"/>
    <x v="21"/>
    <n v="43233501"/>
    <x v="11"/>
    <s v="Software-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m/>
    <m/>
    <n v="1400000"/>
    <n v="1400000"/>
    <n v="0"/>
    <n v="0"/>
    <n v="0"/>
  </r>
  <r>
    <x v="0"/>
    <x v="5"/>
    <s v="Minería"/>
    <s v="Si"/>
    <n v="37"/>
    <s v="140-30"/>
    <s v="3 - Fortalecer la gestión integral de la información de la planeación minera."/>
    <x v="13"/>
    <x v="25"/>
    <n v="80111620"/>
    <x v="1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45000000"/>
    <n v="45000000"/>
    <s v="No"/>
    <s v="N/A"/>
    <s v="Luz Mireya Gomez"/>
    <s v="Subdirector de Minería (E)"/>
    <n v="6012220601"/>
    <s v="eric.vargas@upme.gov.co"/>
    <m/>
    <m/>
    <m/>
    <m/>
    <m/>
    <m/>
    <m/>
    <m/>
    <m/>
    <m/>
    <m/>
    <m/>
    <m/>
    <m/>
    <m/>
    <m/>
    <m/>
    <m/>
    <n v="39000000"/>
    <n v="2166667"/>
    <m/>
    <n v="13000000"/>
    <m/>
    <n v="23833333"/>
    <n v="6000000"/>
    <n v="6000000"/>
    <n v="45000000"/>
    <n v="45000000"/>
    <n v="0"/>
    <n v="0"/>
    <n v="0"/>
  </r>
  <r>
    <x v="0"/>
    <x v="5"/>
    <s v="Minería"/>
    <s v="Si"/>
    <n v="45"/>
    <s v="140-31"/>
    <s v="2 - Ampliar el conocimiento de los encadenamientos productivos asociados a la actividad minera por parte de los actores del sector"/>
    <x v="12"/>
    <x v="18"/>
    <n v="80111620"/>
    <x v="11"/>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10000000"/>
    <n v="10000000"/>
    <s v="No"/>
    <s v="N/A"/>
    <s v="German Ojeda"/>
    <s v="Subdirector de Minería (E)"/>
    <n v="6012220601"/>
    <s v="german.ojeda@upme.gov.co"/>
    <m/>
    <m/>
    <m/>
    <m/>
    <m/>
    <m/>
    <m/>
    <m/>
    <m/>
    <m/>
    <m/>
    <m/>
    <m/>
    <m/>
    <m/>
    <m/>
    <m/>
    <m/>
    <n v="10000000"/>
    <m/>
    <m/>
    <n v="5000000"/>
    <m/>
    <n v="5000000"/>
    <m/>
    <m/>
    <n v="10000000"/>
    <n v="10000000"/>
    <n v="0"/>
    <n v="0"/>
    <n v="0"/>
  </r>
  <r>
    <x v="0"/>
    <x v="6"/>
    <s v="G. Información"/>
    <s v="Si"/>
    <n v="35"/>
    <s v="131-1"/>
    <s v="1 - Fortalecer la implementación de la política de gobierno de datos y gestión de información del sector minero energético."/>
    <x v="14"/>
    <x v="11"/>
    <n v="80111620"/>
    <x v="13"/>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72327750"/>
    <n v="72327750"/>
    <s v="No"/>
    <s v="N/A"/>
    <s v="Johanna Stella Castellanos"/>
    <s v="Subdirectora de Gestión de la Información"/>
    <n v="6012220601"/>
    <s v="johanna.castellanos@upme.gov.co"/>
    <m/>
    <m/>
    <n v="68250000"/>
    <m/>
    <m/>
    <n v="3683333"/>
    <m/>
    <n v="6500000"/>
    <m/>
    <n v="6500000"/>
    <m/>
    <n v="6500000"/>
    <m/>
    <n v="6500000"/>
    <m/>
    <n v="6500000"/>
    <m/>
    <n v="6500000"/>
    <m/>
    <n v="6500000"/>
    <m/>
    <n v="6500000"/>
    <m/>
    <n v="13000000"/>
    <n v="4077750"/>
    <n v="3644417"/>
    <n v="72327750"/>
    <n v="72327750"/>
    <n v="0"/>
    <n v="0"/>
    <n v="0"/>
  </r>
  <r>
    <x v="0"/>
    <x v="6"/>
    <s v="G. Información"/>
    <s v="Si"/>
    <n v="4"/>
    <s v="131-2"/>
    <s v="1 - Fortalecer la implementación de la política de gobierno de datos y gestión de información del sector minero energético."/>
    <x v="14"/>
    <x v="11"/>
    <n v="80111620"/>
    <x v="13"/>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4000000"/>
    <n v="44000000"/>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n v="666667"/>
    <n v="666667"/>
    <n v="44000000"/>
    <n v="44000000"/>
    <n v="0"/>
    <n v="0"/>
    <n v="0"/>
  </r>
  <r>
    <x v="0"/>
    <x v="6"/>
    <s v="G. Información"/>
    <s v="Si"/>
    <n v="6"/>
    <s v="131-3"/>
    <s v="1 - Fortalecer la implementación de la política de gobierno de datos y gestión de información del sector minero energético."/>
    <x v="14"/>
    <x v="11"/>
    <n v="80111620"/>
    <x v="13"/>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42000000"/>
    <n v="42000000"/>
    <s v="No"/>
    <s v="N/A"/>
    <s v="Johanna Stella Castellanos"/>
    <s v="Subdirectora de Gestión de la Información"/>
    <n v="6012220601"/>
    <s v="johanna.castellanos@upme.gov.co"/>
    <n v="42000000"/>
    <m/>
    <m/>
    <n v="4000000"/>
    <m/>
    <n v="4000000"/>
    <m/>
    <n v="4000000"/>
    <m/>
    <n v="4000000"/>
    <m/>
    <n v="4000000"/>
    <n v="-3333333"/>
    <n v="4000000"/>
    <m/>
    <m/>
    <m/>
    <n v="1600000"/>
    <n v="-10666667"/>
    <m/>
    <m/>
    <m/>
    <m/>
    <m/>
    <n v="14000000"/>
    <n v="16400000"/>
    <n v="42000000"/>
    <n v="42000000"/>
    <n v="0"/>
    <n v="0"/>
    <n v="0"/>
  </r>
  <r>
    <x v="0"/>
    <x v="6"/>
    <s v="G. Información"/>
    <s v="Si"/>
    <n v="4"/>
    <s v="131-4"/>
    <s v="1 - Fortalecer la implementación de la política de gobierno de datos y gestión de información del sector minero energético."/>
    <x v="14"/>
    <x v="26"/>
    <n v="80111620"/>
    <x v="13"/>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m/>
    <m/>
    <n v="42000000"/>
    <n v="42000000"/>
    <n v="0"/>
    <n v="0"/>
    <n v="0"/>
  </r>
  <r>
    <x v="0"/>
    <x v="6"/>
    <s v="G. Información"/>
    <s v="Si"/>
    <n v="3"/>
    <s v="131-5"/>
    <s v="1 - Fortalecer la implementación de la política de gobierno de datos y gestión de información del sector minero energético."/>
    <x v="15"/>
    <x v="27"/>
    <n v="80111620"/>
    <x v="14"/>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7000000"/>
    <m/>
    <n v="8000000"/>
    <m/>
    <n v="16000000"/>
    <m/>
    <m/>
    <n v="63000000"/>
    <n v="63000000"/>
    <n v="0"/>
    <n v="0"/>
    <n v="0"/>
  </r>
  <r>
    <x v="0"/>
    <x v="6"/>
    <s v="G. Información"/>
    <s v="Si"/>
    <n v="3"/>
    <s v="131-6"/>
    <s v="1 - Fortalecer la implementación de la política de gobierno de datos y gestión de información del sector minero energético."/>
    <x v="15"/>
    <x v="28"/>
    <n v="80111620"/>
    <x v="14"/>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n v="1000000"/>
    <m/>
    <m/>
    <m/>
    <m/>
    <m/>
    <m/>
    <n v="25000000"/>
    <n v="25000000"/>
    <n v="0"/>
    <n v="0"/>
    <n v="0"/>
  </r>
  <r>
    <x v="0"/>
    <x v="6"/>
    <s v="G. Información"/>
    <s v="Si"/>
    <n v="3"/>
    <s v="131-7"/>
    <s v="1 - Fortalecer la implementación de la política de gobierno de datos y gestión de información del sector minero energético."/>
    <x v="15"/>
    <x v="28"/>
    <n v="80111620"/>
    <x v="14"/>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9000000"/>
    <n v="9000000"/>
    <s v="No"/>
    <s v="N/A"/>
    <s v="Johanna Stella Castellanos"/>
    <s v="Subdirectora de Gestión de la Información"/>
    <n v="6012220601"/>
    <s v="johanna.castellanos@upme.gov.co"/>
    <n v="9000000"/>
    <m/>
    <n v="-750000"/>
    <m/>
    <m/>
    <m/>
    <m/>
    <m/>
    <m/>
    <m/>
    <m/>
    <m/>
    <m/>
    <m/>
    <m/>
    <m/>
    <m/>
    <m/>
    <m/>
    <m/>
    <m/>
    <n v="4500000"/>
    <m/>
    <n v="3750000"/>
    <n v="750000"/>
    <n v="750000"/>
    <n v="9000000"/>
    <n v="9000000"/>
    <n v="0"/>
    <n v="0"/>
    <n v="0"/>
  </r>
  <r>
    <x v="0"/>
    <x v="6"/>
    <s v="G. Información"/>
    <s v="Si"/>
    <s v="75 (30/12/2024)"/>
    <s v="131-8"/>
    <s v="1 - Fortalecer la implementación de la política de gobierno de datos y gestión de información del sector minero energético."/>
    <x v="15"/>
    <x v="28"/>
    <n v="80111620"/>
    <x v="14"/>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m/>
    <m/>
    <n v="18000000"/>
    <n v="18000000"/>
    <n v="0"/>
    <n v="0"/>
    <n v="0"/>
  </r>
  <r>
    <x v="0"/>
    <x v="6"/>
    <s v="G. Información"/>
    <s v="Si"/>
    <n v="35"/>
    <s v="131-9"/>
    <s v="1 - Fortalecer la implementación de la política de gobierno de datos y gestión de información del sector minero energético."/>
    <x v="15"/>
    <x v="28"/>
    <n v="80111620"/>
    <x v="14"/>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6797600"/>
    <n v="867976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n v="1197600"/>
    <n v="1197600"/>
    <n v="86797600"/>
    <n v="86797600"/>
    <n v="0"/>
    <n v="0"/>
    <n v="0"/>
  </r>
  <r>
    <x v="0"/>
    <x v="6"/>
    <s v="G. Información"/>
    <s v="Si"/>
    <n v="6"/>
    <s v="131-10"/>
    <s v="1 - Fortalecer la implementación de la política de gobierno de datos y gestión de información del sector minero energético."/>
    <x v="15"/>
    <x v="28"/>
    <n v="80111620"/>
    <x v="14"/>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m/>
    <m/>
    <n v="79235000"/>
    <n v="79235000"/>
    <n v="0"/>
    <n v="0"/>
    <n v="0"/>
  </r>
  <r>
    <x v="0"/>
    <x v="6"/>
    <s v="G. Información"/>
    <s v="Si"/>
    <n v="35"/>
    <s v="131-11"/>
    <s v="1 - Fortalecer la implementación de la política de gobierno de datos y gestión de información del sector minero energético."/>
    <x v="15"/>
    <x v="28"/>
    <n v="43233400"/>
    <x v="14"/>
    <s v="Software-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13202400"/>
    <n v="13202400"/>
    <s v="No"/>
    <s v="N/A"/>
    <s v="Johanna Stella Castellanos"/>
    <s v="Subdirectora de Gestión de la Información"/>
    <n v="6012220601"/>
    <s v="johanna.castellanos@upme.gov.co"/>
    <m/>
    <m/>
    <m/>
    <m/>
    <m/>
    <m/>
    <m/>
    <m/>
    <m/>
    <m/>
    <m/>
    <m/>
    <m/>
    <m/>
    <m/>
    <m/>
    <m/>
    <m/>
    <n v="13202400"/>
    <m/>
    <m/>
    <n v="13202400"/>
    <m/>
    <m/>
    <m/>
    <m/>
    <n v="13202400"/>
    <n v="13202400"/>
    <n v="0"/>
    <n v="0"/>
    <n v="0"/>
  </r>
  <r>
    <x v="0"/>
    <x v="6"/>
    <s v="G. Información"/>
    <s v="Si"/>
    <n v="3"/>
    <s v="131-12"/>
    <s v="2 - Mejorar la calidad de la información producida por el sector minero energético."/>
    <x v="16"/>
    <x v="10"/>
    <n v="80111620"/>
    <x v="13"/>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n v="4500000"/>
    <m/>
    <m/>
    <m/>
    <n v="2050000"/>
    <m/>
    <m/>
    <n v="29500000"/>
    <n v="29500000"/>
    <n v="0"/>
    <n v="0"/>
    <n v="0"/>
  </r>
  <r>
    <x v="0"/>
    <x v="6"/>
    <s v="G. Información"/>
    <s v="Si"/>
    <s v="75 (30/12/2024)"/>
    <s v="131-13"/>
    <s v="2 - Mejorar la calidad de la información producida por el sector minero energético."/>
    <x v="16"/>
    <x v="10"/>
    <n v="80111620"/>
    <x v="13"/>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m/>
    <m/>
    <n v="7667806"/>
    <n v="7667806"/>
    <n v="0"/>
    <n v="0"/>
    <n v="0"/>
  </r>
  <r>
    <x v="0"/>
    <x v="6"/>
    <s v="G. Información"/>
    <s v="Si"/>
    <s v="75 (30/12/2024)"/>
    <s v="131-14"/>
    <s v="2 - Mejorar la calidad de la información producida por el sector minero energético."/>
    <x v="16"/>
    <x v="10"/>
    <n v="80111620"/>
    <x v="13"/>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m/>
    <m/>
    <n v="7667806"/>
    <n v="7667806"/>
    <n v="0"/>
    <n v="0"/>
    <n v="0"/>
  </r>
  <r>
    <x v="0"/>
    <x v="6"/>
    <s v="G. Información"/>
    <s v="Si"/>
    <n v="4"/>
    <s v="131-15"/>
    <s v="2 - Mejorar la calidad de la información producida por el sector minero energético."/>
    <x v="16"/>
    <x v="10"/>
    <n v="80111620"/>
    <x v="13"/>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m/>
    <m/>
    <n v="4874388"/>
    <n v="4874388"/>
    <n v="0"/>
    <n v="0"/>
    <n v="0"/>
  </r>
  <r>
    <x v="0"/>
    <x v="6"/>
    <s v="G. Información"/>
    <s v="Si"/>
    <n v="3"/>
    <s v="131-16"/>
    <s v="2 - Mejorar la calidad de la información producida por el sector minero energético."/>
    <x v="16"/>
    <x v="10"/>
    <n v="80111620"/>
    <x v="13"/>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m/>
    <m/>
    <n v="44000000"/>
    <n v="44000000"/>
    <n v="0"/>
    <n v="0"/>
    <n v="0"/>
  </r>
  <r>
    <x v="0"/>
    <x v="6"/>
    <s v="G. Información"/>
    <s v="Si"/>
    <n v="27"/>
    <s v="131-17"/>
    <s v="2 - Mejorar la calidad de la información producida por el sector minero energético."/>
    <x v="16"/>
    <x v="10"/>
    <n v="80111620"/>
    <x v="13"/>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m/>
    <m/>
    <n v="22966667"/>
    <n v="22966667"/>
    <n v="0"/>
    <n v="0"/>
    <n v="0"/>
  </r>
  <r>
    <x v="0"/>
    <x v="6"/>
    <s v="G. Información"/>
    <s v="Si"/>
    <s v="75 (30/12/2024)"/>
    <s v="131-18"/>
    <s v="2 - Mejorar la calidad de la información producida por el sector minero energético."/>
    <x v="16"/>
    <x v="10"/>
    <n v="80111620"/>
    <x v="13"/>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m/>
    <m/>
    <n v="77357740"/>
    <n v="77357740"/>
    <n v="0"/>
    <n v="0"/>
    <n v="0"/>
  </r>
  <r>
    <x v="0"/>
    <x v="6"/>
    <s v="G. Información"/>
    <s v="Si"/>
    <n v="27"/>
    <s v="131-19"/>
    <s v="2 - Mejorar la calidad de la información producida por el sector minero energético."/>
    <x v="16"/>
    <x v="10"/>
    <n v="80111620"/>
    <x v="13"/>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m/>
    <m/>
    <n v="78100000"/>
    <n v="78100000"/>
    <n v="0"/>
    <n v="0"/>
    <n v="0"/>
  </r>
  <r>
    <x v="0"/>
    <x v="6"/>
    <s v="G. Información"/>
    <s v="Si"/>
    <n v="27"/>
    <s v="131-20"/>
    <s v="2 - Mejorar la calidad de la información producida por el sector minero energético."/>
    <x v="16"/>
    <x v="10"/>
    <n v="80111620"/>
    <x v="13"/>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m/>
    <m/>
    <n v="66825753"/>
    <n v="66825753"/>
    <n v="0"/>
    <n v="0"/>
    <n v="0"/>
  </r>
  <r>
    <x v="0"/>
    <x v="6"/>
    <s v="G. Información"/>
    <s v="Si"/>
    <s v="75 (30/12/2024)"/>
    <s v="131-21"/>
    <s v="2 - Mejorar la calidad de la información producida por el sector minero energético."/>
    <x v="16"/>
    <x v="26"/>
    <n v="80111620"/>
    <x v="13"/>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m/>
    <m/>
    <n v="7057580"/>
    <n v="7057580"/>
    <n v="0"/>
    <n v="0"/>
    <n v="0"/>
  </r>
  <r>
    <x v="0"/>
    <x v="6"/>
    <s v="G. Información"/>
    <s v="Si"/>
    <n v="27"/>
    <s v="131-22"/>
    <s v="2 - Mejorar la calidad de la información producida por el sector minero energético."/>
    <x v="16"/>
    <x v="26"/>
    <n v="80111620"/>
    <x v="13"/>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3630000"/>
    <m/>
    <n v="3630000"/>
    <m/>
    <n v="9798876"/>
    <m/>
    <m/>
    <n v="42468876"/>
    <n v="42468876"/>
    <n v="0"/>
    <n v="0"/>
    <n v="0"/>
  </r>
  <r>
    <x v="0"/>
    <x v="6"/>
    <s v="G. Información"/>
    <s v="Si"/>
    <n v="27"/>
    <s v="131-23"/>
    <s v="2 - Mejorar la calidad de la información producida por el sector minero energético."/>
    <x v="16"/>
    <x v="26"/>
    <n v="43232605"/>
    <x v="13"/>
    <s v="Software-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m/>
    <m/>
    <n v="27997791"/>
    <n v="27997791"/>
    <n v="0"/>
    <n v="0"/>
    <n v="0"/>
  </r>
  <r>
    <x v="0"/>
    <x v="6"/>
    <s v="G. Información"/>
    <s v="Si"/>
    <n v="4"/>
    <s v="131-24"/>
    <s v="2 - Mejorar la calidad de la información producida por el sector minero energético."/>
    <x v="16"/>
    <x v="26"/>
    <n v="80111620"/>
    <x v="13"/>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m/>
    <m/>
    <n v="12397420"/>
    <n v="12397420"/>
    <n v="0"/>
    <n v="0"/>
    <n v="0"/>
  </r>
  <r>
    <x v="0"/>
    <x v="6"/>
    <s v="G. Información"/>
    <s v="Si"/>
    <n v="44"/>
    <s v="131-25"/>
    <s v="2 - Mejorar la calidad de la información producida por el sector minero energético."/>
    <x v="17"/>
    <x v="27"/>
    <n v="80111620"/>
    <x v="15"/>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27980000"/>
    <n v="27980000"/>
    <s v="No"/>
    <s v="N/A"/>
    <s v="Johanna Stella Castellanos"/>
    <s v="Subdirectora de Gestión de la Información"/>
    <n v="6012220601"/>
    <s v="johanna.castellanos@upme.gov.co"/>
    <m/>
    <m/>
    <m/>
    <m/>
    <m/>
    <m/>
    <m/>
    <m/>
    <m/>
    <m/>
    <m/>
    <m/>
    <m/>
    <m/>
    <m/>
    <m/>
    <m/>
    <m/>
    <m/>
    <m/>
    <m/>
    <m/>
    <m/>
    <m/>
    <n v="27980000"/>
    <n v="27980000"/>
    <n v="27980000"/>
    <n v="27980000"/>
    <n v="0"/>
    <n v="0"/>
    <n v="0"/>
  </r>
  <r>
    <x v="0"/>
    <x v="6"/>
    <s v="G. Información"/>
    <s v="Si"/>
    <n v="35"/>
    <s v="131-26"/>
    <s v="2 - Mejorar la calidad de la información producida por el sector minero energético."/>
    <x v="17"/>
    <x v="28"/>
    <n v="80111620"/>
    <x v="15"/>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2000000"/>
    <n v="32000000"/>
    <s v="No"/>
    <s v="N/A"/>
    <s v="Johanna Stella Castellanos"/>
    <s v="Subdirectora de Gestión de la Información"/>
    <n v="6012220601"/>
    <s v="johanna.castellanos@upme.gov.co"/>
    <m/>
    <m/>
    <m/>
    <m/>
    <m/>
    <m/>
    <m/>
    <m/>
    <m/>
    <m/>
    <m/>
    <m/>
    <n v="31200000"/>
    <m/>
    <m/>
    <m/>
    <n v="-1200000"/>
    <n v="6000000"/>
    <m/>
    <n v="6000000"/>
    <m/>
    <n v="6000000"/>
    <m/>
    <n v="12000000"/>
    <n v="2000000"/>
    <n v="2000000"/>
    <n v="32000000"/>
    <n v="32000000"/>
    <n v="0"/>
    <n v="0"/>
    <n v="0"/>
  </r>
  <r>
    <x v="0"/>
    <x v="6"/>
    <s v="G. Información"/>
    <s v="Si"/>
    <n v="6"/>
    <s v="131-27"/>
    <s v="2 - Mejorar la calidad de la información producida por el sector minero energético."/>
    <x v="17"/>
    <x v="28"/>
    <n v="80111620"/>
    <x v="15"/>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m/>
    <m/>
    <n v="45000000"/>
    <n v="45000000"/>
    <n v="0"/>
    <n v="0"/>
    <n v="0"/>
  </r>
  <r>
    <x v="0"/>
    <x v="6"/>
    <s v="G. Información"/>
    <s v="Si"/>
    <n v="35"/>
    <s v="131-28"/>
    <s v="2 - Mejorar la calidad de la información producida por el sector minero energético."/>
    <x v="17"/>
    <x v="28"/>
    <n v="80111620"/>
    <x v="15"/>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
    <s v="Agosto"/>
    <s v="Agosto"/>
    <s v="Agosto"/>
    <n v="5"/>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m/>
    <m/>
    <n v="27000000"/>
    <m/>
    <m/>
    <n v="400000"/>
    <n v="-2600000"/>
    <n v="6000000"/>
    <m/>
    <n v="6000000"/>
    <m/>
    <n v="12000000"/>
    <n v="5600000"/>
    <n v="5600000"/>
    <n v="30000000"/>
    <n v="30000000"/>
    <n v="0"/>
    <n v="0"/>
    <n v="0"/>
  </r>
  <r>
    <x v="0"/>
    <x v="6"/>
    <s v="G. Información"/>
    <s v="Si"/>
    <n v="3"/>
    <s v="131-29"/>
    <s v="2 - Mejorar la calidad de la información producida por el sector minero energético."/>
    <x v="17"/>
    <x v="28"/>
    <n v="80111620"/>
    <x v="15"/>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m/>
    <m/>
    <n v="2000000"/>
    <n v="2000000"/>
    <n v="0"/>
    <n v="0"/>
    <n v="0"/>
  </r>
  <r>
    <x v="0"/>
    <x v="6"/>
    <s v="G. Información"/>
    <s v="Si"/>
    <n v="6"/>
    <s v="131-30"/>
    <s v="2 - Mejorar la calidad de la información producida por el sector minero energético."/>
    <x v="17"/>
    <x v="28"/>
    <n v="80111620"/>
    <x v="15"/>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m/>
    <m/>
    <n v="10200000"/>
    <n v="10200000"/>
    <n v="0"/>
    <n v="0"/>
    <n v="0"/>
  </r>
  <r>
    <x v="0"/>
    <x v="6"/>
    <s v="G. Información"/>
    <s v="Si"/>
    <n v="35"/>
    <s v="131-31"/>
    <s v="2 - Mejorar la calidad de la información producida por el sector minero energético."/>
    <x v="17"/>
    <x v="28"/>
    <n v="80111620"/>
    <x v="15"/>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m/>
    <m/>
    <n v="76206667"/>
    <n v="76206667"/>
    <n v="0"/>
    <n v="0"/>
    <n v="0"/>
  </r>
  <r>
    <x v="0"/>
    <x v="6"/>
    <s v="G. Información"/>
    <s v="Si"/>
    <n v="40"/>
    <s v="131-32"/>
    <s v="2 - Mejorar la calidad de la información producida por el sector minero energético."/>
    <x v="17"/>
    <x v="28"/>
    <n v="80111620"/>
    <x v="15"/>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m/>
    <m/>
    <n v="37800000"/>
    <n v="37800000"/>
    <n v="0"/>
    <n v="0"/>
    <n v="0"/>
  </r>
  <r>
    <x v="0"/>
    <x v="6"/>
    <s v="G. Información"/>
    <s v="Si"/>
    <n v="35"/>
    <s v="131-33"/>
    <s v="2 - Mejorar la calidad de la información producida por el sector minero energético."/>
    <x v="17"/>
    <x v="28"/>
    <n v="80111620"/>
    <x v="15"/>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m/>
    <m/>
    <n v="11831673"/>
    <n v="11831673"/>
    <n v="0"/>
    <n v="0"/>
    <n v="0"/>
  </r>
  <r>
    <x v="0"/>
    <x v="6"/>
    <s v="G. Información"/>
    <s v="Si"/>
    <n v="35"/>
    <s v="131-34"/>
    <s v="3 - Implementar una adecuada estrategia de comunicación y divulgación de la información del sector minero energético."/>
    <x v="18"/>
    <x v="29"/>
    <n v="80111620"/>
    <x v="14"/>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m/>
    <m/>
    <n v="7769439"/>
    <n v="7769439"/>
    <n v="0"/>
    <n v="0"/>
    <n v="0"/>
  </r>
  <r>
    <x v="0"/>
    <x v="6"/>
    <s v="G. Información"/>
    <s v="Si"/>
    <n v="35"/>
    <s v="131-35"/>
    <s v="3 - Implementar una adecuada estrategia de comunicación y divulgación de la información del sector minero energético."/>
    <x v="18"/>
    <x v="29"/>
    <n v="80111620"/>
    <x v="14"/>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7"/>
    <m/>
    <m/>
    <m/>
    <m/>
    <m/>
    <m/>
    <m/>
    <m/>
    <m/>
    <m/>
    <m/>
    <m/>
    <m/>
    <m/>
    <m/>
    <m/>
    <m/>
    <m/>
    <n v="2933333"/>
    <m/>
    <m/>
    <n v="2933333"/>
    <n v="2933333"/>
    <n v="0"/>
    <n v="0"/>
    <n v="0"/>
  </r>
  <r>
    <x v="0"/>
    <x v="6"/>
    <s v="G. Información"/>
    <s v="Si"/>
    <n v="47"/>
    <s v="131-36"/>
    <s v="3 - Implementar una adecuada estrategia de comunicación y divulgación de la información del sector minero energético."/>
    <x v="18"/>
    <x v="29"/>
    <n v="43233600"/>
    <x v="14"/>
    <s v="Software-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60000000"/>
    <n v="60000000"/>
    <s v="No"/>
    <s v="N/A"/>
    <s v="Johanna Stella Castellanos"/>
    <s v="Subdirectora de Gestión de la Información"/>
    <n v="6012220601"/>
    <s v="johanna.castellanos@upme.gov.co"/>
    <m/>
    <m/>
    <m/>
    <m/>
    <m/>
    <m/>
    <m/>
    <m/>
    <m/>
    <m/>
    <m/>
    <m/>
    <m/>
    <m/>
    <m/>
    <m/>
    <m/>
    <m/>
    <n v="52000000"/>
    <m/>
    <m/>
    <n v="52000000"/>
    <m/>
    <m/>
    <n v="8000000"/>
    <n v="8000000"/>
    <n v="60000000"/>
    <n v="60000000"/>
    <n v="0"/>
    <n v="0"/>
    <n v="0"/>
  </r>
  <r>
    <x v="0"/>
    <x v="6"/>
    <s v="G. Información"/>
    <s v="Si"/>
    <n v="4"/>
    <s v="131-37"/>
    <s v="3 - Implementar una adecuada estrategia de comunicación y divulgación de la información del sector minero energético."/>
    <x v="18"/>
    <x v="28"/>
    <n v="80111620"/>
    <x v="14"/>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n v="11111548"/>
    <m/>
    <n v="9728192"/>
    <m/>
    <m/>
    <m/>
    <m/>
    <n v="20839740"/>
    <n v="20839740"/>
    <n v="0"/>
    <n v="0"/>
    <n v="0"/>
  </r>
  <r>
    <x v="0"/>
    <x v="6"/>
    <s v="G. Información"/>
    <s v="Si"/>
    <n v="24"/>
    <s v="131-38"/>
    <s v="3 - Implementar una adecuada estrategia de comunicación y divulgación de la información del sector minero energético."/>
    <x v="18"/>
    <x v="28"/>
    <n v="80111620"/>
    <x v="14"/>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m/>
    <m/>
    <n v="84763894"/>
    <n v="84763894"/>
    <n v="0"/>
    <n v="0"/>
    <n v="0"/>
  </r>
  <r>
    <x v="0"/>
    <x v="6"/>
    <s v="G. Información"/>
    <s v="Si"/>
    <n v="6"/>
    <s v="131-39"/>
    <s v="3 - Implementar una adecuada estrategia de comunicación y divulgación de la información del sector minero energético."/>
    <x v="18"/>
    <x v="28"/>
    <n v="80111620"/>
    <x v="14"/>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6.67"/>
    <m/>
    <m/>
    <n v="84000000"/>
    <n v="84000000"/>
    <n v="0"/>
    <n v="0"/>
    <n v="0"/>
  </r>
  <r>
    <x v="0"/>
    <x v="6"/>
    <s v="G. Información"/>
    <s v="Si"/>
    <n v="24"/>
    <s v="131-40"/>
    <s v="3 - Implementar una adecuada estrategia de comunicación y divulgación de la información del sector minero energético."/>
    <x v="18"/>
    <x v="28"/>
    <n v="80111620"/>
    <x v="14"/>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m/>
    <m/>
    <n v="147348692"/>
    <n v="147348692"/>
    <n v="0"/>
    <n v="0"/>
    <n v="0"/>
  </r>
  <r>
    <x v="0"/>
    <x v="6"/>
    <s v="G. Información"/>
    <s v="Si"/>
    <n v="24"/>
    <s v="131-41"/>
    <s v="3 - Implementar una adecuada estrategia de comunicación y divulgación de la información del sector minero energético."/>
    <x v="18"/>
    <x v="28"/>
    <n v="80111620"/>
    <x v="14"/>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m/>
    <m/>
    <n v="44933333"/>
    <n v="44933333"/>
    <n v="0"/>
    <n v="0"/>
    <n v="0"/>
  </r>
  <r>
    <x v="0"/>
    <x v="6"/>
    <s v="G. Información"/>
    <s v="Si"/>
    <n v="24"/>
    <s v="131-42"/>
    <s v="3 - Implementar una adecuada estrategia de comunicación y divulgación de la información del sector minero energético."/>
    <x v="18"/>
    <x v="28"/>
    <n v="80111620"/>
    <x v="14"/>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8145355"/>
    <n v="28145355"/>
    <s v="No"/>
    <s v="N/A"/>
    <s v="Johanna Stella Castellanos"/>
    <s v="Subdirectora de Gestión de la Información"/>
    <n v="6012220601"/>
    <s v="johanna.castellanos@upme.gov.co"/>
    <m/>
    <m/>
    <m/>
    <m/>
    <m/>
    <m/>
    <n v="28145355"/>
    <m/>
    <m/>
    <m/>
    <n v="-876120"/>
    <n v="4271085"/>
    <m/>
    <n v="3285450"/>
    <m/>
    <n v="3285450"/>
    <m/>
    <n v="3285450"/>
    <m/>
    <n v="3285450"/>
    <m/>
    <n v="3285450"/>
    <m/>
    <n v="6570900"/>
    <n v="876120"/>
    <n v="876120"/>
    <n v="28145355"/>
    <n v="28145355"/>
    <n v="0"/>
    <n v="0"/>
    <n v="0"/>
  </r>
  <r>
    <x v="0"/>
    <x v="6"/>
    <s v="G. Información"/>
    <s v="Si"/>
    <n v="35"/>
    <s v="131-43"/>
    <s v="3 - Implementar una adecuada estrategia de comunicación y divulgación de la información del sector minero energético."/>
    <x v="19"/>
    <x v="30"/>
    <n v="78111502"/>
    <x v="16"/>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1000000"/>
    <n v="21000000"/>
    <s v="No"/>
    <s v="N/A"/>
    <s v="Johanna Stella Castellanos"/>
    <s v="Subdirectora de Gestión de la Información"/>
    <n v="6012220601"/>
    <s v="johanna.castellanos@upme.gov.co"/>
    <m/>
    <m/>
    <m/>
    <m/>
    <m/>
    <m/>
    <m/>
    <m/>
    <m/>
    <m/>
    <n v="20000000"/>
    <m/>
    <m/>
    <m/>
    <m/>
    <n v="3310452"/>
    <m/>
    <n v="3769762"/>
    <m/>
    <m/>
    <m/>
    <m/>
    <m/>
    <n v="12919786"/>
    <n v="1000000"/>
    <n v="1000000"/>
    <n v="21000000"/>
    <n v="21000000"/>
    <n v="0"/>
    <n v="0"/>
    <n v="0"/>
  </r>
  <r>
    <x v="0"/>
    <x v="6"/>
    <s v="G. Información"/>
    <s v="Si"/>
    <n v="13"/>
    <s v="131-44"/>
    <s v="3 - Implementar una adecuada estrategia de comunicación y divulgación de la información del sector minero energético."/>
    <x v="19"/>
    <x v="30"/>
    <n v="80141607"/>
    <x v="16"/>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m/>
    <m/>
    <n v="34000000"/>
    <n v="34000000"/>
    <n v="0"/>
    <n v="0"/>
    <n v="0"/>
  </r>
  <r>
    <x v="0"/>
    <x v="6"/>
    <s v="G. Información"/>
    <s v="Si"/>
    <n v="35"/>
    <s v="131-45"/>
    <s v="3 - Implementar una adecuada estrategia de comunicación y divulgación de la información del sector minero energético."/>
    <x v="19"/>
    <x v="30"/>
    <n v="80111620"/>
    <x v="16"/>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m/>
    <m/>
    <n v="65400000"/>
    <n v="65400000"/>
    <n v="0"/>
    <n v="0"/>
    <n v="0"/>
  </r>
  <r>
    <x v="0"/>
    <x v="6"/>
    <s v="G. Información"/>
    <s v="Si"/>
    <n v="6"/>
    <s v="131-46"/>
    <s v="3 - Implementar una adecuada estrategia de comunicación y divulgación de la información del sector minero energético."/>
    <x v="19"/>
    <x v="30"/>
    <n v="80111620"/>
    <x v="16"/>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m/>
    <m/>
    <n v="80500000"/>
    <n v="80500000"/>
    <n v="0"/>
    <n v="0"/>
    <n v="0"/>
  </r>
  <r>
    <x v="0"/>
    <x v="6"/>
    <s v="G. Información"/>
    <s v="Si"/>
    <s v="75 (30/12/2024)"/>
    <s v="131-47"/>
    <s v="3 - Implementar una adecuada estrategia de comunicación y divulgación de la información del sector minero energético."/>
    <x v="19"/>
    <x v="31"/>
    <s v="N/A"/>
    <x v="16"/>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m/>
    <m/>
    <n v="4775582"/>
    <n v="4775582"/>
    <m/>
    <m/>
    <n v="17726220"/>
    <n v="17726220"/>
    <n v="0"/>
    <n v="0"/>
    <n v="0"/>
  </r>
  <r>
    <x v="0"/>
    <x v="6"/>
    <s v="G. Información"/>
    <s v="Si"/>
    <n v="35"/>
    <s v="131-48"/>
    <s v="3 - Implementar una adecuada estrategia de comunicación y divulgación de la información del sector minero energético."/>
    <x v="19"/>
    <x v="31"/>
    <n v="80111620"/>
    <x v="16"/>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m/>
    <m/>
    <n v="80880000"/>
    <n v="80880000"/>
    <n v="0"/>
    <n v="0"/>
    <n v="0"/>
  </r>
  <r>
    <x v="0"/>
    <x v="6"/>
    <s v="G. Información"/>
    <s v="Si"/>
    <n v="6"/>
    <s v="131-49"/>
    <s v="3 - Implementar una adecuada estrategia de comunicación y divulgación de la información del sector minero energético."/>
    <x v="19"/>
    <x v="31"/>
    <n v="80111620"/>
    <x v="16"/>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1419000"/>
    <n v="41419000"/>
    <s v="No"/>
    <s v="N/A"/>
    <s v="Johanna Stella Castellanos"/>
    <s v="Subdirectora de Gestión de la Información"/>
    <n v="6012220601"/>
    <s v="johanna.castellanos@upme.gov.co"/>
    <m/>
    <m/>
    <n v="41419000"/>
    <m/>
    <m/>
    <n v="2961000"/>
    <n v="-658000"/>
    <n v="3696445"/>
    <m/>
    <n v="3290000"/>
    <m/>
    <n v="3900742"/>
    <m/>
    <n v="3290000"/>
    <m/>
    <n v="3290000"/>
    <m/>
    <n v="3290000"/>
    <m/>
    <n v="3290000"/>
    <m/>
    <n v="3290000"/>
    <m/>
    <n v="10462813"/>
    <n v="658000"/>
    <n v="658000"/>
    <n v="41419000"/>
    <n v="41419000"/>
    <n v="0"/>
    <n v="0"/>
    <n v="0"/>
  </r>
  <r>
    <x v="0"/>
    <x v="6"/>
    <s v="G. Información"/>
    <s v="Si"/>
    <n v="35"/>
    <s v="131-50"/>
    <s v="3 - Implementar una adecuada estrategia de comunicación y divulgación de la información del sector minero energético."/>
    <x v="19"/>
    <x v="31"/>
    <n v="80111620"/>
    <x v="16"/>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6920000"/>
    <n v="6920000"/>
    <s v="No"/>
    <s v="N/A"/>
    <s v="Johanna Stella Castellanos"/>
    <s v="Subdirectora de Gestión de la Información"/>
    <n v="6012220601"/>
    <s v="johanna.castellanos@upme.gov.co"/>
    <m/>
    <m/>
    <m/>
    <m/>
    <m/>
    <m/>
    <m/>
    <m/>
    <m/>
    <m/>
    <m/>
    <m/>
    <m/>
    <m/>
    <m/>
    <m/>
    <n v="4839215"/>
    <m/>
    <m/>
    <m/>
    <m/>
    <n v="3285450"/>
    <m/>
    <n v="1553765"/>
    <n v="2080785"/>
    <n v="2080785"/>
    <n v="6920000"/>
    <n v="6920000"/>
    <n v="0"/>
    <n v="0"/>
    <n v="0"/>
  </r>
  <r>
    <x v="0"/>
    <x v="6"/>
    <s v="G. Información"/>
    <s v="Si"/>
    <n v="35"/>
    <s v="131-51"/>
    <s v="3 - Implementar una adecuada estrategia de comunicación y divulgación de la información del sector minero energético."/>
    <x v="18"/>
    <x v="29"/>
    <n v="80111620"/>
    <x v="14"/>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m/>
    <m/>
    <n v="39315186"/>
    <n v="39315186"/>
    <n v="0"/>
    <n v="0"/>
    <n v="0"/>
  </r>
  <r>
    <x v="0"/>
    <x v="6"/>
    <s v="G. Información"/>
    <s v="Si"/>
    <n v="47"/>
    <s v="131-52"/>
    <s v="3 - Implementar una adecuada estrategia de comunicación y divulgación de la información del sector minero energético."/>
    <x v="18"/>
    <x v="29"/>
    <n v="80111620"/>
    <x v="14"/>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Octubre"/>
    <n v="3"/>
    <s v="Meses"/>
    <s v="Contratación directa"/>
    <s v="Propios - 21 - Otros recursos de tesorería"/>
    <n v="30000000"/>
    <n v="30000000"/>
    <s v="No"/>
    <s v="N/A"/>
    <s v="Johanna Stella Castellanos"/>
    <s v="Subdirectora de Gestión de la Información"/>
    <n v="6012220601"/>
    <s v="johanna.castellanos@upme.gov.co"/>
    <m/>
    <m/>
    <m/>
    <m/>
    <m/>
    <m/>
    <m/>
    <m/>
    <m/>
    <m/>
    <m/>
    <m/>
    <m/>
    <m/>
    <m/>
    <m/>
    <m/>
    <m/>
    <n v="18933333"/>
    <m/>
    <m/>
    <n v="2933333"/>
    <m/>
    <n v="16000000"/>
    <n v="11066667"/>
    <n v="11066667"/>
    <n v="30000000"/>
    <n v="30000000"/>
    <n v="0"/>
    <n v="0"/>
    <n v="0"/>
  </r>
  <r>
    <x v="0"/>
    <x v="6"/>
    <s v="G. Información"/>
    <s v="Si"/>
    <n v="35"/>
    <s v="131-53"/>
    <s v="3 - Implementar una adecuada estrategia de comunicación y divulgación de la información del sector minero energético."/>
    <x v="18"/>
    <x v="29"/>
    <n v="80111620"/>
    <x v="14"/>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m/>
    <m/>
    <n v="18000000"/>
    <n v="18000000"/>
    <n v="0"/>
    <n v="0"/>
    <n v="0"/>
  </r>
  <r>
    <x v="0"/>
    <x v="6"/>
    <s v="G. Información"/>
    <s v="Si"/>
    <n v="16"/>
    <s v="131-54"/>
    <s v="3 - Implementar una adecuada estrategia de comunicación y divulgación de la información del sector minero energético."/>
    <x v="18"/>
    <x v="28"/>
    <n v="43233501"/>
    <x v="14"/>
    <s v="Software-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m/>
    <m/>
    <n v="15688606"/>
    <n v="15688606"/>
    <n v="0"/>
    <n v="0"/>
    <n v="0"/>
  </r>
  <r>
    <x v="0"/>
    <x v="6"/>
    <s v="G. Información"/>
    <s v="Si"/>
    <n v="35"/>
    <s v="131-55"/>
    <s v="2 - Mejorar la calidad de la información producida por el sector minero energético."/>
    <x v="16"/>
    <x v="26"/>
    <n v="80111620"/>
    <x v="13"/>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4533333"/>
    <n v="4533333"/>
    <s v="No"/>
    <s v="N/A"/>
    <s v="Johanna Stella Castellanos"/>
    <s v="Subdirectora de Gestión de la Información"/>
    <n v="6012220601"/>
    <s v="johanna.castellanos@upme.gov.co"/>
    <m/>
    <m/>
    <m/>
    <m/>
    <m/>
    <m/>
    <m/>
    <m/>
    <m/>
    <m/>
    <m/>
    <m/>
    <n v="4533333"/>
    <m/>
    <m/>
    <m/>
    <n v="-2166667"/>
    <n v="333333"/>
    <m/>
    <m/>
    <m/>
    <m/>
    <m/>
    <n v="2033333"/>
    <n v="2166667"/>
    <n v="2166667"/>
    <n v="4533333"/>
    <n v="4533333"/>
    <n v="0"/>
    <n v="0"/>
    <n v="0"/>
  </r>
  <r>
    <x v="0"/>
    <x v="6"/>
    <s v="G. Información"/>
    <s v="Si"/>
    <n v="35"/>
    <s v="131-56"/>
    <s v="2 - Mejorar la calidad de la información producida por el sector minero energético."/>
    <x v="17"/>
    <x v="28"/>
    <n v="80111620"/>
    <x v="15"/>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n v="4590600"/>
    <m/>
    <n v="4590600"/>
    <m/>
    <n v="1180460"/>
    <m/>
    <m/>
    <n v="10361660"/>
    <n v="10361660"/>
    <n v="0"/>
    <n v="0"/>
    <n v="0"/>
  </r>
  <r>
    <x v="0"/>
    <x v="6"/>
    <s v="G. Información"/>
    <s v="Si"/>
    <n v="35"/>
    <s v="131-57"/>
    <s v="2 - Mejorar la calidad de la información producida por el sector minero energético."/>
    <x v="16"/>
    <x v="26"/>
    <n v="80111620"/>
    <x v="13"/>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m/>
    <m/>
    <m/>
    <m/>
    <n v="5000000"/>
    <m/>
    <m/>
    <n v="5000000"/>
    <n v="5000000"/>
    <n v="0"/>
    <n v="0"/>
    <n v="0"/>
  </r>
  <r>
    <x v="0"/>
    <x v="6"/>
    <s v="G. Información"/>
    <s v="Si"/>
    <n v="35"/>
    <s v="131-58"/>
    <s v="3 - Implementar una adecuada estrategia de comunicación y divulgación de la información del sector minero energético."/>
    <x v="18"/>
    <x v="29"/>
    <n v="80111620"/>
    <x v="14"/>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m/>
    <m/>
    <m/>
    <m/>
    <m/>
    <m/>
    <m/>
    <m/>
    <m/>
    <m/>
    <m/>
    <m/>
    <m/>
    <m/>
    <n v="1035169"/>
    <m/>
    <m/>
    <m/>
    <n v="-918120"/>
    <m/>
    <m/>
    <m/>
    <m/>
    <n v="2883691"/>
    <n v="2766642"/>
    <m/>
    <n v="2883691"/>
    <n v="2883691"/>
    <n v="0"/>
    <n v="0"/>
    <n v="0"/>
  </r>
  <r>
    <x v="0"/>
    <x v="6"/>
    <s v="G. Información"/>
    <s v="Si"/>
    <n v="35"/>
    <s v="131-59"/>
    <s v="3 - Implementar una adecuada estrategia de comunicación y divulgación de la información del sector minero energético."/>
    <x v="18"/>
    <x v="29"/>
    <n v="80111620"/>
    <x v="14"/>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6048351"/>
    <n v="6048351"/>
    <s v="No"/>
    <s v="N/A"/>
    <s v="Johanna Stella Castellanos"/>
    <s v="Subdirectora de Gestión de la Información"/>
    <n v="6012220601"/>
    <s v="johanna.castellanos@upme.gov.co"/>
    <m/>
    <m/>
    <m/>
    <m/>
    <m/>
    <m/>
    <m/>
    <m/>
    <m/>
    <m/>
    <m/>
    <m/>
    <m/>
    <m/>
    <n v="2883691"/>
    <m/>
    <m/>
    <m/>
    <m/>
    <m/>
    <m/>
    <m/>
    <m/>
    <n v="117049"/>
    <n v="3164660"/>
    <n v="5931302"/>
    <n v="6048351"/>
    <n v="6048351"/>
    <n v="0"/>
    <n v="0"/>
    <n v="0"/>
  </r>
  <r>
    <x v="0"/>
    <x v="6"/>
    <s v="G. Información"/>
    <s v="Si"/>
    <n v="35"/>
    <s v="131-60"/>
    <s v="3 - Implementar una adecuada estrategia de comunicación y divulgación de la información del sector minero energético."/>
    <x v="19"/>
    <x v="30"/>
    <n v="80111620"/>
    <x v="16"/>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n v="766605"/>
    <m/>
    <m/>
    <m/>
    <n v="3833395"/>
    <m/>
    <m/>
    <n v="4600000"/>
    <n v="4600000"/>
    <n v="0"/>
    <n v="0"/>
    <n v="0"/>
  </r>
  <r>
    <x v="0"/>
    <x v="6"/>
    <s v="G. Información"/>
    <s v="Si"/>
    <n v="35"/>
    <s v="131-61"/>
    <s v="1 - Fortalecer la implementación de la política de gobierno de datos y gestión de información del sector minero energético."/>
    <x v="14"/>
    <x v="11"/>
    <n v="80111620"/>
    <x v="13"/>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4907250"/>
    <n v="4907250"/>
    <s v="No"/>
    <s v="N/A"/>
    <s v="Johanna Stella Castellanos"/>
    <s v="Subdirectora de Gestión de la Información"/>
    <n v="6012220601"/>
    <s v="johanna.castellanos@upme.gov.co"/>
    <m/>
    <m/>
    <m/>
    <m/>
    <m/>
    <m/>
    <m/>
    <m/>
    <m/>
    <m/>
    <m/>
    <m/>
    <m/>
    <m/>
    <m/>
    <m/>
    <n v="1183740"/>
    <m/>
    <m/>
    <m/>
    <m/>
    <m/>
    <m/>
    <n v="1183740"/>
    <n v="3723510"/>
    <n v="3723510"/>
    <n v="4907250"/>
    <n v="4907250"/>
    <n v="0"/>
    <n v="0"/>
    <n v="0"/>
  </r>
  <r>
    <x v="0"/>
    <x v="6"/>
    <s v="G. Información"/>
    <s v="Si"/>
    <n v="40"/>
    <s v="131-62"/>
    <s v="2 - Mejorar la calidad de la información producida por el sector minero energético."/>
    <x v="17"/>
    <x v="28"/>
    <n v="80111620"/>
    <x v="15"/>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6600000"/>
    <n v="26600000"/>
    <s v="No"/>
    <s v="N/A"/>
    <s v="Johanna Stella Castellanos"/>
    <s v="Subdirectora de Gestión de la Información"/>
    <n v="6012220601"/>
    <s v="johanna.castellanos@upme.gov.co"/>
    <m/>
    <m/>
    <m/>
    <m/>
    <m/>
    <m/>
    <m/>
    <m/>
    <m/>
    <m/>
    <m/>
    <m/>
    <m/>
    <m/>
    <m/>
    <m/>
    <n v="23616667"/>
    <m/>
    <m/>
    <n v="6650000"/>
    <m/>
    <n v="6650000"/>
    <m/>
    <n v="13300000"/>
    <n v="2983333"/>
    <m/>
    <n v="26600000"/>
    <n v="26600000"/>
    <n v="0"/>
    <n v="0"/>
    <n v="0"/>
  </r>
  <r>
    <x v="0"/>
    <x v="6"/>
    <s v="G. Información"/>
    <s v="Si"/>
    <n v="44"/>
    <s v="131-63"/>
    <s v="2 - Mejorar la calidad de la información producida por el sector minero energético."/>
    <x v="17"/>
    <x v="27"/>
    <n v="80111620"/>
    <x v="15"/>
    <s v="Prestación de servicios profesionales y/o de apoyo a la gestión"/>
    <s v="131-63 Prestación de servicios de apoyo a la gestión para el desarrollo e implementación de geoprocesos institucionales y fortalecimiento del Geoportal Sectorial"/>
    <s v="Septiembre"/>
    <s v="Septiembre"/>
    <s v="Octubre"/>
    <n v="3"/>
    <s v="Meses"/>
    <s v="Contratación directa - Prestación de servicios profesionales"/>
    <s v="Propios - 20 - Ingresos corrientes"/>
    <n v="7020000"/>
    <n v="7020000"/>
    <s v="No"/>
    <s v="N/A"/>
    <s v="Johanna Stella Castellanos"/>
    <s v="Subdirectora de Gestión de la Información"/>
    <n v="6012220601"/>
    <s v="johanna.castellanos@upme.gov.co"/>
    <m/>
    <m/>
    <m/>
    <m/>
    <m/>
    <m/>
    <m/>
    <m/>
    <m/>
    <m/>
    <m/>
    <m/>
    <m/>
    <m/>
    <m/>
    <m/>
    <m/>
    <m/>
    <n v="7020000"/>
    <m/>
    <m/>
    <n v="2340000"/>
    <m/>
    <n v="4680000"/>
    <m/>
    <m/>
    <n v="7020000"/>
    <n v="7020000"/>
    <n v="0"/>
    <n v="0"/>
    <n v="0"/>
  </r>
  <r>
    <x v="0"/>
    <x v="7"/>
    <s v="Hidrocarburos"/>
    <s v="Si"/>
    <n v="47"/>
    <s v="170-1"/>
    <s v="1 - Fortalecer la planificación de la oferta de hidrocarburos."/>
    <x v="20"/>
    <x v="22"/>
    <n v="93151509"/>
    <x v="17"/>
    <s v="Software - Suscripciones"/>
    <s v="170-1 Realizar la renovación de la suscripción online de S&amp;P Global Commodity Insights."/>
    <s v="Septiembre"/>
    <s v="Septiembre"/>
    <s v="Noviembre"/>
    <n v="12"/>
    <s v="Meses"/>
    <s v="Contratación directa  - único oferente"/>
    <s v="Propios - 20 - Ingresos corrientes"/>
    <n v="241744916"/>
    <n v="241744916"/>
    <s v="No"/>
    <s v="N/A"/>
    <s v="Mauricio Andres Palma Orozco"/>
    <s v="Subdirector de hidrocarburos"/>
    <n v="6012220601"/>
    <s v="mauricio.palma@upme.gov.co"/>
    <m/>
    <m/>
    <m/>
    <m/>
    <m/>
    <m/>
    <m/>
    <m/>
    <m/>
    <m/>
    <m/>
    <m/>
    <m/>
    <m/>
    <m/>
    <m/>
    <m/>
    <m/>
    <m/>
    <m/>
    <n v="241744916"/>
    <m/>
    <m/>
    <n v="241744916"/>
    <m/>
    <m/>
    <n v="241744916"/>
    <n v="241744916"/>
    <n v="0"/>
    <n v="0"/>
    <n v="0"/>
  </r>
  <r>
    <x v="0"/>
    <x v="7"/>
    <s v="Hidrocarburos"/>
    <s v="Si"/>
    <s v="75 (30/12/2024)"/>
    <s v="170-2"/>
    <s v="1 - Fortalecer la planificación de la oferta de hidrocarburos."/>
    <x v="20"/>
    <x v="22"/>
    <n v="93151509"/>
    <x v="17"/>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m/>
    <m/>
    <n v="500000000"/>
    <n v="500000000"/>
    <n v="0"/>
    <n v="0"/>
    <n v="0"/>
  </r>
  <r>
    <x v="0"/>
    <x v="7"/>
    <s v="Hidrocarburos"/>
    <s v="Si"/>
    <n v="39"/>
    <s v="170-3"/>
    <s v="1 - Fortalecer la planificación de la oferta de hidrocarburos."/>
    <x v="20"/>
    <x v="22"/>
    <n v="93151509"/>
    <x v="17"/>
    <s v="Software - Suscripciones"/>
    <s v="170-3 Realizar la adquisición de licencia PipelineStudio™ Software"/>
    <s v="Septiembre"/>
    <s v="Septiembre"/>
    <s v="Octubre"/>
    <n v="12"/>
    <s v="Meses"/>
    <s v="Contratación directa  - único oferente"/>
    <s v="Propios - 20 - Ingresos corrientes"/>
    <n v="269448992"/>
    <n v="269448992"/>
    <s v="No"/>
    <s v="N/A"/>
    <s v="Mauricio Andres Palma Orozco"/>
    <s v="Subdirector de hidrocarburos"/>
    <n v="6012220601"/>
    <s v="mauricio.palma@upme.gov.co"/>
    <m/>
    <m/>
    <m/>
    <m/>
    <m/>
    <m/>
    <m/>
    <m/>
    <m/>
    <m/>
    <m/>
    <m/>
    <m/>
    <m/>
    <m/>
    <m/>
    <m/>
    <m/>
    <m/>
    <m/>
    <n v="269448992"/>
    <m/>
    <m/>
    <n v="269448992"/>
    <m/>
    <m/>
    <n v="269448992"/>
    <n v="269448992"/>
    <n v="0"/>
    <n v="0"/>
    <n v="0"/>
  </r>
  <r>
    <x v="0"/>
    <x v="7"/>
    <s v="Hidrocarburos"/>
    <s v="Si"/>
    <n v="27"/>
    <s v="170-4"/>
    <s v="1 - Fortalecer la planificación de la oferta de hidrocarburos."/>
    <x v="20"/>
    <x v="22"/>
    <n v="80111620"/>
    <x v="17"/>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m/>
    <m/>
    <n v="112894320"/>
    <n v="112894320"/>
    <n v="0"/>
    <n v="0"/>
    <n v="0"/>
  </r>
  <r>
    <x v="0"/>
    <x v="7"/>
    <s v="Hidrocarburos"/>
    <s v="Si"/>
    <s v="75 (30/12/2024)"/>
    <s v="170-5"/>
    <s v="1 - Fortalecer la planificación de la oferta de hidrocarburos."/>
    <x v="20"/>
    <x v="22"/>
    <n v="80111620"/>
    <x v="17"/>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999100"/>
    <n v="115999100"/>
    <s v="No"/>
    <s v="N/A"/>
    <s v="Mauricio Andres Palma Orozco"/>
    <s v="Subdirector de hidrocarburos"/>
    <n v="6012220601"/>
    <s v="mauricio.palma@upme.gov.co"/>
    <n v="115999100"/>
    <m/>
    <m/>
    <m/>
    <m/>
    <n v="10418100"/>
    <m/>
    <n v="10418100"/>
    <m/>
    <n v="10418100"/>
    <m/>
    <n v="10772767"/>
    <m/>
    <n v="10418100"/>
    <m/>
    <n v="10418100"/>
    <m/>
    <n v="10418100"/>
    <m/>
    <n v="10728779"/>
    <m/>
    <n v="10418100"/>
    <m/>
    <n v="20836200"/>
    <m/>
    <n v="734654"/>
    <n v="115999100"/>
    <n v="115999100"/>
    <n v="0"/>
    <n v="0"/>
    <n v="0"/>
  </r>
  <r>
    <x v="0"/>
    <x v="7"/>
    <s v="Hidrocarburos"/>
    <s v="Si"/>
    <n v="26"/>
    <s v="170-6"/>
    <s v="1 - Fortalecer la planificación de la oferta de hidrocarburos."/>
    <x v="20"/>
    <x v="22"/>
    <n v="80111620"/>
    <x v="17"/>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m/>
    <m/>
    <n v="100984271"/>
    <n v="100984271"/>
    <n v="0"/>
    <n v="0"/>
    <n v="0"/>
  </r>
  <r>
    <x v="0"/>
    <x v="7"/>
    <s v="Hidrocarburos"/>
    <s v="Si"/>
    <n v="46"/>
    <s v="170-7"/>
    <s v="1 - Fortalecer la planificación de la oferta de hidrocarburos."/>
    <x v="20"/>
    <x v="22"/>
    <n v="80111620"/>
    <x v="17"/>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683174"/>
    <n v="115683174"/>
    <s v="No"/>
    <s v="N/A"/>
    <s v="Mauricio Andres Palma Orozco"/>
    <s v="Subdirector de hidrocarburos"/>
    <n v="6012220601"/>
    <s v="mauricio.palma@upme.gov.co"/>
    <n v="115599100"/>
    <m/>
    <m/>
    <m/>
    <m/>
    <n v="10418100"/>
    <m/>
    <n v="10418100"/>
    <m/>
    <n v="10960137"/>
    <m/>
    <n v="10418100"/>
    <m/>
    <n v="10418100"/>
    <m/>
    <n v="10418100"/>
    <m/>
    <n v="10418100"/>
    <n v="84074"/>
    <n v="10418100"/>
    <m/>
    <n v="10960137"/>
    <m/>
    <n v="20836200"/>
    <m/>
    <m/>
    <n v="115683174"/>
    <n v="115683174"/>
    <n v="0"/>
    <n v="0"/>
    <n v="0"/>
  </r>
  <r>
    <x v="0"/>
    <x v="7"/>
    <s v="Hidrocarburos"/>
    <s v="Si"/>
    <n v="26"/>
    <s v="170-8"/>
    <s v="1 - Fortalecer la planificación de la oferta de hidrocarburos."/>
    <x v="20"/>
    <x v="22"/>
    <n v="80111620"/>
    <x v="17"/>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m/>
    <m/>
    <n v="35437675"/>
    <n v="35437675"/>
    <n v="0"/>
    <n v="0"/>
    <n v="0"/>
  </r>
  <r>
    <x v="0"/>
    <x v="7"/>
    <s v="Hidrocarburos"/>
    <s v="Si"/>
    <n v="26"/>
    <s v="170-9"/>
    <s v="1 - Fortalecer la planificación de la oferta de hidrocarburos."/>
    <x v="20"/>
    <x v="22"/>
    <n v="80111620"/>
    <x v="17"/>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m/>
    <m/>
    <n v="102907805"/>
    <n v="102907805"/>
    <n v="0"/>
    <n v="0"/>
    <n v="0"/>
  </r>
  <r>
    <x v="0"/>
    <x v="7"/>
    <s v="Hidrocarburos"/>
    <s v="Si"/>
    <n v="26"/>
    <s v="170-10"/>
    <s v="1 - Fortalecer la planificación de la oferta de hidrocarburos."/>
    <x v="20"/>
    <x v="22"/>
    <n v="80111620"/>
    <x v="17"/>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m/>
    <m/>
    <n v="82176710"/>
    <n v="82176710"/>
    <n v="0"/>
    <n v="0"/>
    <n v="0"/>
  </r>
  <r>
    <x v="0"/>
    <x v="7"/>
    <s v="Hidrocarburos"/>
    <s v="Si"/>
    <s v="75 (30/12/2024)"/>
    <s v="170-11"/>
    <s v="1 - Fortalecer la planificación de la oferta de hidrocarburos."/>
    <x v="20"/>
    <x v="22"/>
    <n v="80111620"/>
    <x v="17"/>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m/>
    <m/>
    <m/>
    <m/>
    <n v="1259026"/>
    <m/>
    <m/>
    <n v="9759026"/>
    <n v="9759026"/>
    <n v="0"/>
    <n v="0"/>
    <n v="0"/>
  </r>
  <r>
    <x v="0"/>
    <x v="7"/>
    <s v="Hidrocarburos"/>
    <s v="Si"/>
    <s v="75 (30/12/2024)"/>
    <s v="170-12"/>
    <s v="1 - Fortalecer la planificación de la oferta de hidrocarburos."/>
    <x v="20"/>
    <x v="22"/>
    <n v="80111620"/>
    <x v="17"/>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m/>
    <m/>
    <m/>
    <m/>
    <n v="6214961"/>
    <m/>
    <m/>
    <n v="9759026"/>
    <n v="9759026"/>
    <n v="0"/>
    <n v="0"/>
    <n v="0"/>
  </r>
  <r>
    <x v="0"/>
    <x v="7"/>
    <s v="Hidrocarburos"/>
    <s v="Si"/>
    <n v="26"/>
    <s v="170-13"/>
    <s v="1 - Fortalecer la planificación de la oferta de hidrocarburos."/>
    <x v="20"/>
    <x v="22"/>
    <n v="80111620"/>
    <x v="17"/>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4915480"/>
    <n v="114915480"/>
    <s v="No"/>
    <s v="N/A"/>
    <s v="Mauricio Andres Palma Orozco"/>
    <s v="Subdirector de hidrocarburos"/>
    <n v="6012220601"/>
    <s v="mauricio.palma@upme.gov.co"/>
    <m/>
    <m/>
    <n v="115999100"/>
    <m/>
    <m/>
    <n v="8334480"/>
    <n v="-2083620"/>
    <n v="10418100"/>
    <m/>
    <n v="10418100"/>
    <m/>
    <n v="10418100"/>
    <n v="1000000"/>
    <n v="10418100"/>
    <m/>
    <n v="10960137"/>
    <m/>
    <n v="10418100"/>
    <m/>
    <n v="10418100"/>
    <m/>
    <n v="10418100"/>
    <m/>
    <n v="20836200"/>
    <m/>
    <n v="1857963"/>
    <n v="114915480"/>
    <n v="114915480"/>
    <n v="0"/>
    <n v="0"/>
    <n v="0"/>
  </r>
  <r>
    <x v="0"/>
    <x v="7"/>
    <s v="Hidrocarburos"/>
    <s v="Si"/>
    <s v="75 (30/12/2024)"/>
    <s v="170-14"/>
    <s v="1 - Fortalecer la planificación de la oferta de hidrocarburos."/>
    <x v="20"/>
    <x v="22"/>
    <s v="N/A"/>
    <x v="17"/>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5000000"/>
    <n v="35000000"/>
    <s v="No"/>
    <s v="N/A"/>
    <s v="Mauricio Andres Palma Orozco"/>
    <s v="Subdirector de hidrocarburos"/>
    <n v="6012220601"/>
    <s v="mauricio.palma@upme.gov.co"/>
    <m/>
    <m/>
    <m/>
    <m/>
    <n v="2158125"/>
    <n v="2158125"/>
    <n v="3571557"/>
    <n v="3571557"/>
    <n v="4724297"/>
    <n v="2661633"/>
    <n v="1037712"/>
    <n v="3100376"/>
    <n v="3462505"/>
    <n v="3462505"/>
    <m/>
    <m/>
    <n v="2559450"/>
    <n v="2286184"/>
    <n v="1300000"/>
    <n v="1300000"/>
    <n v="3900000"/>
    <n v="3900000"/>
    <n v="12286354"/>
    <n v="12559620"/>
    <m/>
    <m/>
    <n v="35000000"/>
    <n v="35000000"/>
    <n v="0"/>
    <n v="0"/>
    <n v="0"/>
  </r>
  <r>
    <x v="0"/>
    <x v="7"/>
    <s v="Hidrocarburos"/>
    <s v="Si"/>
    <s v="75 (30/12/2024)"/>
    <s v="170-15"/>
    <s v="1 - Fortalecer la planificación de la oferta de hidrocarburos."/>
    <x v="20"/>
    <x v="22"/>
    <n v="80111620"/>
    <x v="17"/>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n v="700000"/>
    <m/>
    <n v="700000"/>
    <m/>
    <n v="700000"/>
    <m/>
    <n v="1400000"/>
    <m/>
    <m/>
    <n v="8050000"/>
    <n v="8050000"/>
    <n v="0"/>
    <n v="0"/>
    <n v="0"/>
  </r>
  <r>
    <x v="0"/>
    <x v="7"/>
    <s v="Hidrocarburos"/>
    <s v="Si"/>
    <n v="4"/>
    <s v="170-16"/>
    <s v="1 - Fortalecer la planificación de la oferta de hidrocarburos."/>
    <x v="20"/>
    <x v="22"/>
    <n v="80111620"/>
    <x v="17"/>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m/>
    <m/>
    <n v="11400000"/>
    <n v="11400000"/>
    <n v="0"/>
    <n v="0"/>
    <n v="0"/>
  </r>
  <r>
    <x v="0"/>
    <x v="7"/>
    <s v="Hidrocarburos"/>
    <s v="Si"/>
    <s v="75 (30/12/2024)"/>
    <s v="170-17"/>
    <s v="1 - Fortalecer la planificación de la oferta de hidrocarburos."/>
    <x v="20"/>
    <x v="22"/>
    <n v="80111620"/>
    <x v="17"/>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75000000"/>
    <n v="75000000"/>
    <s v="No"/>
    <s v="N/A"/>
    <s v="Mauricio Andres Palma Orozco"/>
    <s v="Subdirector de hidrocarburos"/>
    <n v="6012220601"/>
    <s v="mauricio.palma@upme.gov.co"/>
    <m/>
    <m/>
    <n v="75000000"/>
    <m/>
    <m/>
    <n v="6500000"/>
    <m/>
    <n v="7500000"/>
    <m/>
    <n v="7500000"/>
    <m/>
    <n v="7500000"/>
    <m/>
    <n v="7500000"/>
    <m/>
    <n v="7500000"/>
    <m/>
    <n v="7500000"/>
    <m/>
    <n v="7500000"/>
    <m/>
    <n v="7500000"/>
    <m/>
    <n v="8500000"/>
    <m/>
    <m/>
    <n v="75000000"/>
    <n v="75000000"/>
    <n v="0"/>
    <n v="0"/>
    <n v="0"/>
  </r>
  <r>
    <x v="0"/>
    <x v="7"/>
    <s v="Hidrocarburos"/>
    <s v="Si"/>
    <n v="37"/>
    <s v="170-18"/>
    <s v="1 - Fortalecer la planificación de la oferta de hidrocarburos."/>
    <x v="20"/>
    <x v="22"/>
    <n v="80111620"/>
    <x v="17"/>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m/>
    <m/>
    <n v="19283470"/>
    <n v="19283470"/>
    <n v="0"/>
    <n v="0"/>
    <n v="0"/>
  </r>
  <r>
    <x v="0"/>
    <x v="7"/>
    <s v="Hidrocarburos"/>
    <s v="Si"/>
    <n v="26"/>
    <s v="170-19"/>
    <s v="2 - Reducir limitaciones que afecten la expansión de infraestructura de suministro de hidrocarburos en el tiempo."/>
    <x v="21"/>
    <x v="10"/>
    <n v="80111620"/>
    <x v="18"/>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m/>
    <n v="21436200"/>
    <m/>
    <m/>
    <n v="116588180"/>
    <n v="116588180"/>
    <n v="0"/>
    <n v="0"/>
    <n v="0"/>
  </r>
  <r>
    <x v="0"/>
    <x v="7"/>
    <s v="Hidrocarburos"/>
    <s v="Si"/>
    <n v="29"/>
    <s v="170-20"/>
    <s v="2 - Reducir limitaciones que afecten la expansión de infraestructura de suministro de hidrocarburos en el tiempo."/>
    <x v="21"/>
    <x v="10"/>
    <n v="80111620"/>
    <x v="18"/>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m/>
    <m/>
    <n v="50729596"/>
    <n v="50729596"/>
    <n v="0"/>
    <n v="0"/>
    <n v="0"/>
  </r>
  <r>
    <x v="0"/>
    <x v="7"/>
    <s v="Hidrocarburos"/>
    <s v="Si"/>
    <n v="29"/>
    <s v="170-21"/>
    <s v="2 - Reducir limitaciones que afecten la expansión de infraestructura de suministro de hidrocarburos en el tiempo."/>
    <x v="21"/>
    <x v="10"/>
    <n v="80111620"/>
    <x v="18"/>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m/>
    <m/>
    <n v="48965070"/>
    <n v="48965070"/>
    <n v="0"/>
    <n v="0"/>
    <n v="0"/>
  </r>
  <r>
    <x v="0"/>
    <x v="7"/>
    <s v="Hidrocarburos"/>
    <s v="Si"/>
    <n v="26"/>
    <s v="170-22"/>
    <s v="2 - Reducir limitaciones que afecten la expansión de infraestructura de suministro de hidrocarburos en el tiempo."/>
    <x v="21"/>
    <x v="10"/>
    <n v="80111620"/>
    <x v="18"/>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m/>
    <m/>
    <n v="12642630"/>
    <n v="12642630"/>
    <n v="0"/>
    <n v="0"/>
    <n v="0"/>
  </r>
  <r>
    <x v="0"/>
    <x v="7"/>
    <s v="Hidrocarburos"/>
    <s v="Si"/>
    <n v="26"/>
    <s v="170-23"/>
    <s v="2 - Reducir limitaciones que afecten la expansión de infraestructura de suministro de hidrocarburos en el tiempo."/>
    <x v="21"/>
    <x v="10"/>
    <n v="80111620"/>
    <x v="18"/>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m/>
    <n v="21436200"/>
    <m/>
    <m/>
    <n v="116588180"/>
    <n v="116588180"/>
    <n v="0"/>
    <n v="0"/>
    <n v="0"/>
  </r>
  <r>
    <x v="0"/>
    <x v="7"/>
    <s v="Hidrocarburos"/>
    <s v="Si"/>
    <n v="39"/>
    <s v="170-24"/>
    <s v="2 - Reducir limitaciones que afecten la expansión de infraestructura de suministro de hidrocarburos en el tiempo."/>
    <x v="21"/>
    <x v="10"/>
    <n v="80111620"/>
    <x v="18"/>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m/>
    <m/>
    <n v="64244950"/>
    <n v="64244950"/>
    <n v="0"/>
    <n v="0"/>
    <n v="0"/>
  </r>
  <r>
    <x v="0"/>
    <x v="7"/>
    <s v="Hidrocarburos"/>
    <s v="Si"/>
    <n v="44"/>
    <s v="170-25"/>
    <s v="2 - Reducir limitaciones que afecten la expansión de infraestructura de suministro de hidrocarburos en el tiempo."/>
    <x v="21"/>
    <x v="10"/>
    <n v="78111502"/>
    <x v="18"/>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4200000"/>
    <m/>
    <n v="13579468"/>
    <m/>
    <m/>
    <n v="30899620"/>
    <n v="30899620"/>
    <n v="0"/>
    <n v="0"/>
    <n v="0"/>
  </r>
  <r>
    <x v="0"/>
    <x v="7"/>
    <s v="Hidrocarburos"/>
    <s v="Si"/>
    <n v="26"/>
    <s v="170-26"/>
    <s v="2 - Reducir limitaciones que afecten la expansión de infraestructura de suministro de hidrocarburos en el tiempo."/>
    <x v="21"/>
    <x v="10"/>
    <n v="80111620"/>
    <x v="18"/>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m/>
    <m/>
    <n v="6992254"/>
    <n v="6992254"/>
    <n v="0"/>
    <n v="0"/>
    <n v="0"/>
  </r>
  <r>
    <x v="0"/>
    <x v="7"/>
    <s v="Hidrocarburos"/>
    <s v="Si"/>
    <n v="44"/>
    <s v="170-27"/>
    <s v="2 - Reducir limitaciones que afecten la expansión de infraestructura de suministro de hidrocarburos en el tiempo."/>
    <x v="21"/>
    <x v="10"/>
    <n v="80111620"/>
    <x v="18"/>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m/>
    <m/>
    <n v="42325920"/>
    <n v="42325920"/>
    <n v="0"/>
    <n v="0"/>
    <n v="0"/>
  </r>
  <r>
    <x v="0"/>
    <x v="7"/>
    <s v="Hidrocarburos"/>
    <s v="Si"/>
    <n v="47"/>
    <s v="170-28"/>
    <s v="2 - Reducir limitaciones que afecten la expansión de infraestructura de suministro de hidrocarburos en el tiempo."/>
    <x v="21"/>
    <x v="10"/>
    <n v="43233600"/>
    <x v="18"/>
    <s v="Software- Licencias"/>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Contratación directa-unico oferente"/>
    <s v="Propios - 20 - Ingresos corrientes"/>
    <n v="32460948"/>
    <n v="32460948"/>
    <s v="No"/>
    <s v="N/A"/>
    <s v="Cesar Augusto Pineda "/>
    <s v="Subdirector de hidrocarburos (E)"/>
    <n v="6012220601"/>
    <s v="cesar.pineda@upme.gov.co"/>
    <m/>
    <m/>
    <m/>
    <m/>
    <m/>
    <m/>
    <m/>
    <m/>
    <m/>
    <m/>
    <m/>
    <m/>
    <m/>
    <m/>
    <m/>
    <m/>
    <m/>
    <m/>
    <n v="32460948"/>
    <m/>
    <m/>
    <n v="32460948"/>
    <m/>
    <m/>
    <m/>
    <m/>
    <n v="32460948"/>
    <n v="32460948"/>
    <n v="0"/>
    <n v="0"/>
    <n v="0"/>
  </r>
  <r>
    <x v="0"/>
    <x v="7"/>
    <s v="Hidrocarburos"/>
    <s v="Si"/>
    <n v="44"/>
    <s v="170-29"/>
    <s v="2 - Reducir limitaciones que afecten la expansión de infraestructura de suministro de hidrocarburos en el tiempo."/>
    <x v="21"/>
    <x v="10"/>
    <n v="80111620"/>
    <x v="18"/>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m/>
    <m/>
    <n v="0"/>
    <n v="0"/>
    <n v="0"/>
    <n v="0"/>
    <n v="0"/>
  </r>
  <r>
    <x v="0"/>
    <x v="7"/>
    <s v="Hidrocarburos"/>
    <s v="Si"/>
    <n v="37"/>
    <s v="170-30"/>
    <s v="2 - Reducir limitaciones que afecten la expansión de infraestructura de suministro de hidrocarburos en el tiempo."/>
    <x v="21"/>
    <x v="10"/>
    <n v="80111620"/>
    <x v="18"/>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n v="7900000"/>
    <m/>
    <n v="6500000"/>
    <m/>
    <n v="6500000"/>
    <m/>
    <m/>
    <n v="20900000"/>
    <n v="20900000"/>
    <n v="0"/>
    <n v="0"/>
    <n v="0"/>
  </r>
  <r>
    <x v="0"/>
    <x v="7"/>
    <s v="Hidrocarburos"/>
    <s v="Si"/>
    <n v="30"/>
    <s v="170-31"/>
    <s v="2 - Reducir limitaciones que afecten la expansión de infraestructura de suministro de hidrocarburos en el tiempo."/>
    <x v="21"/>
    <x v="10"/>
    <s v="43233501"/>
    <x v="18"/>
    <s v="Software-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m/>
    <m/>
    <n v="19967317"/>
    <n v="19967317"/>
    <n v="0"/>
    <n v="0"/>
    <n v="0"/>
  </r>
  <r>
    <x v="0"/>
    <x v="7"/>
    <s v="Hidrocarburos"/>
    <s v="Si"/>
    <n v="44"/>
    <s v="170-32"/>
    <s v="2 - Reducir limitaciones que afecten la expansión de infraestructura de suministro de hidrocarburos en el tiempo."/>
    <x v="21"/>
    <x v="10"/>
    <n v="80111620"/>
    <x v="18"/>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43408750"/>
    <n v="43408750"/>
    <s v="No"/>
    <s v="N/A"/>
    <s v="Ingrid Fernanda Vasquez"/>
    <s v="Subdirector de hidrocarburos"/>
    <n v="6012220601"/>
    <s v="ingrid.vasquez@upme.gov.co"/>
    <m/>
    <m/>
    <m/>
    <m/>
    <m/>
    <m/>
    <m/>
    <m/>
    <m/>
    <m/>
    <m/>
    <m/>
    <m/>
    <m/>
    <m/>
    <m/>
    <n v="43408750"/>
    <m/>
    <m/>
    <n v="5556320"/>
    <m/>
    <n v="10418100"/>
    <m/>
    <n v="20836200"/>
    <m/>
    <n v="6598130"/>
    <n v="43408750"/>
    <n v="43408750"/>
    <n v="0"/>
    <n v="0"/>
    <n v="0"/>
  </r>
  <r>
    <x v="0"/>
    <x v="7"/>
    <s v="Hidrocarburos"/>
    <s v="Si"/>
    <n v="44"/>
    <s v="170-33"/>
    <s v="1 - Fortalecer la planificación de la oferta de hidrocarburos."/>
    <x v="20"/>
    <x v="22"/>
    <n v="80111620"/>
    <x v="17"/>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44166150"/>
    <n v="44166150"/>
    <s v="No"/>
    <s v="N/A"/>
    <s v="Ingrid Fernanda Vasquez"/>
    <s v="Subdirector de hidrocarburos"/>
    <n v="6012220601"/>
    <s v="ingrid.vasquez@upme.gov.co"/>
    <m/>
    <m/>
    <m/>
    <m/>
    <m/>
    <m/>
    <m/>
    <m/>
    <m/>
    <m/>
    <m/>
    <m/>
    <m/>
    <m/>
    <m/>
    <m/>
    <m/>
    <m/>
    <n v="34912290"/>
    <m/>
    <m/>
    <n v="9674490"/>
    <m/>
    <n v="25237800"/>
    <n v="9253860"/>
    <n v="9253860"/>
    <n v="44166150"/>
    <n v="44166150"/>
    <n v="0"/>
    <n v="0"/>
    <n v="0"/>
  </r>
  <r>
    <x v="0"/>
    <x v="7"/>
    <s v="Hidrocarburos"/>
    <s v="Si"/>
    <n v="44"/>
    <s v="170-34"/>
    <s v="1 - Fortalecer la planificación de la oferta de hidrocarburos."/>
    <x v="20"/>
    <x v="22"/>
    <n v="80111620"/>
    <x v="17"/>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6463350"/>
    <n v="36463350"/>
    <s v="No"/>
    <s v="N/A"/>
    <s v="Ingrid Fernanda Vasquez"/>
    <s v="Subdirector de hidrocarburos"/>
    <n v="6012220601"/>
    <s v="ingrid.vasquez@upme.gov.co"/>
    <m/>
    <m/>
    <m/>
    <m/>
    <m/>
    <m/>
    <m/>
    <m/>
    <m/>
    <m/>
    <m/>
    <m/>
    <m/>
    <m/>
    <m/>
    <m/>
    <n v="32990650"/>
    <m/>
    <n v="347270"/>
    <m/>
    <m/>
    <n v="10418100"/>
    <m/>
    <n v="20836200"/>
    <n v="3125430"/>
    <n v="5209050"/>
    <n v="36463350"/>
    <n v="36463350"/>
    <n v="0"/>
    <n v="0"/>
    <n v="0"/>
  </r>
  <r>
    <x v="0"/>
    <x v="7"/>
    <s v="Hidrocarburos"/>
    <s v="Si"/>
    <n v="44"/>
    <s v="170-35"/>
    <s v="1 - Fortalecer la planificación de la oferta de hidrocarburos."/>
    <x v="20"/>
    <x v="22"/>
    <n v="80111620"/>
    <x v="17"/>
    <s v="Prestación de servicios profesionales y/o de apoyo a la gestión"/>
    <s v="170-35 Prestar servicios profesionales de apoyo a la gestión para asistir logísticamente y acompañar la consolidación de la información requerida para la elaboración de informes, reportes y documentos técnicos requeridos por la subdirección de hidrocarbur"/>
    <s v="Agosto"/>
    <s v="Agosto"/>
    <s v="Septiembre"/>
    <n v="4"/>
    <s v="Meses"/>
    <s v="Contratación directa - Prestación de servicios profesionales"/>
    <s v="Propios - 20 - Ingresos corrientes"/>
    <n v="14795550"/>
    <n v="14795550"/>
    <s v="No"/>
    <s v="N/A"/>
    <s v="Ingrid Fernanda Vasquez"/>
    <s v="Subdirector de hidrocarburos"/>
    <n v="6012220601"/>
    <s v="ingrid.vasquez@upme.gov.co"/>
    <m/>
    <m/>
    <m/>
    <m/>
    <m/>
    <m/>
    <m/>
    <m/>
    <m/>
    <m/>
    <m/>
    <m/>
    <m/>
    <m/>
    <m/>
    <m/>
    <m/>
    <m/>
    <n v="10045490"/>
    <m/>
    <m/>
    <n v="2783690"/>
    <m/>
    <n v="7261800"/>
    <n v="4750060"/>
    <n v="4750060"/>
    <n v="14795550"/>
    <n v="14795550"/>
    <n v="0"/>
    <n v="0"/>
    <n v="0"/>
  </r>
  <r>
    <x v="0"/>
    <x v="7"/>
    <s v="Hidrocarburos"/>
    <s v="Si"/>
    <n v="44"/>
    <s v="170-36"/>
    <s v="2 - Reducir limitaciones que afecten la expansión de infraestructura de suministro de hidrocarburos en el tiempo."/>
    <x v="21"/>
    <x v="10"/>
    <n v="80111620"/>
    <x v="18"/>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36463350"/>
    <n v="36463350"/>
    <s v="No"/>
    <s v="N/A"/>
    <s v="Ingrid Fernanda Vasquez"/>
    <s v="Subdirector de hidrocarburos"/>
    <n v="6012220601"/>
    <s v="ingrid.vasquez@upme.gov.co"/>
    <m/>
    <m/>
    <m/>
    <m/>
    <m/>
    <m/>
    <m/>
    <m/>
    <m/>
    <m/>
    <m/>
    <m/>
    <m/>
    <m/>
    <m/>
    <m/>
    <m/>
    <m/>
    <n v="23112180"/>
    <m/>
    <m/>
    <n v="6404580"/>
    <m/>
    <n v="16707600"/>
    <n v="13351170"/>
    <n v="13351170"/>
    <n v="36463350"/>
    <n v="36463350"/>
    <n v="0"/>
    <n v="0"/>
    <n v="0"/>
  </r>
  <r>
    <x v="0"/>
    <x v="7"/>
    <s v="Hidrocarburos"/>
    <s v="Si"/>
    <n v="44"/>
    <s v="170-37"/>
    <s v="2 - Reducir limitaciones que afecten la expansión de infraestructura de suministro de hidrocarburos en el tiempo."/>
    <x v="21"/>
    <x v="10"/>
    <n v="80111620"/>
    <x v="18"/>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36463350"/>
    <n v="36463350"/>
    <s v="No"/>
    <s v="N/A"/>
    <s v="Ingrid Fernanda Vasquez"/>
    <s v="Subdirector de hidrocarburos"/>
    <n v="6012220601"/>
    <s v="ingrid.vasquez@upme.gov.co"/>
    <m/>
    <m/>
    <m/>
    <m/>
    <m/>
    <m/>
    <m/>
    <m/>
    <m/>
    <m/>
    <m/>
    <m/>
    <m/>
    <m/>
    <m/>
    <m/>
    <n v="32990650"/>
    <m/>
    <m/>
    <m/>
    <m/>
    <n v="9723560"/>
    <m/>
    <n v="20836200"/>
    <n v="3472700"/>
    <n v="5903590"/>
    <n v="36463350"/>
    <n v="36463350"/>
    <n v="0"/>
    <n v="0"/>
    <n v="0"/>
  </r>
  <r>
    <x v="0"/>
    <x v="7"/>
    <s v="Hidrocarburos"/>
    <s v="Si"/>
    <n v="44"/>
    <s v="170-38"/>
    <s v="2 - Reducir limitaciones que afecten la expansión de infraestructura de suministro de hidrocarburos en el tiempo."/>
    <x v="21"/>
    <x v="10"/>
    <n v="80111620"/>
    <x v="18"/>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33872475"/>
    <n v="33872475"/>
    <s v="No"/>
    <s v="N/A"/>
    <s v="Ingrid Fernanda Vasquez"/>
    <s v="Subdirector de hidrocarburos"/>
    <n v="6012220601"/>
    <s v="ingrid.vasquez@upme.gov.co"/>
    <m/>
    <m/>
    <m/>
    <m/>
    <m/>
    <m/>
    <m/>
    <m/>
    <m/>
    <m/>
    <m/>
    <m/>
    <m/>
    <m/>
    <m/>
    <m/>
    <m/>
    <m/>
    <n v="26775385"/>
    <m/>
    <m/>
    <n v="7419685"/>
    <m/>
    <n v="19355700"/>
    <n v="7097090"/>
    <n v="7097090"/>
    <n v="33872475"/>
    <n v="33872475"/>
    <n v="0"/>
    <n v="0"/>
    <n v="0"/>
  </r>
  <r>
    <x v="0"/>
    <x v="7"/>
    <s v="Hidrocarburos"/>
    <s v="Si"/>
    <n v="47"/>
    <s v="170-39"/>
    <s v="1 - Fortalecer la planificación de la oferta de hidrocarburos."/>
    <x v="20"/>
    <x v="22"/>
    <n v="43233600"/>
    <x v="17"/>
    <s v="Software- Licencias"/>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Contratación directa "/>
    <s v="Propios - 20 - Ingresos corrientes"/>
    <n v="7539052"/>
    <n v="7539052"/>
    <s v="No"/>
    <s v="N/A"/>
    <s v="Ingrid Fernanda Vasquez"/>
    <s v="Subdirector de hidrocarburos"/>
    <n v="6012220601"/>
    <s v="ingrid.vasquez@upme.gov.co"/>
    <m/>
    <m/>
    <m/>
    <m/>
    <m/>
    <m/>
    <m/>
    <m/>
    <m/>
    <m/>
    <m/>
    <m/>
    <m/>
    <m/>
    <m/>
    <m/>
    <m/>
    <m/>
    <n v="7539052"/>
    <m/>
    <m/>
    <n v="7539052"/>
    <m/>
    <m/>
    <m/>
    <m/>
    <n v="7539052"/>
    <n v="7539052"/>
    <n v="0"/>
    <n v="0"/>
    <n v="0"/>
  </r>
  <r>
    <x v="0"/>
    <x v="7"/>
    <s v="Hidrocarburos"/>
    <s v="Si"/>
    <n v="47"/>
    <s v="170-40"/>
    <s v="1 - Fortalecer la planificación de la oferta de hidrocarburos."/>
    <x v="20"/>
    <x v="22"/>
    <n v="43233600"/>
    <x v="17"/>
    <s v="Software- Licencias"/>
    <s v="170-40 Contratar el suministro de una solución tecnológica integral en la modalidad de software como servicio de gestión de proyectos para coordinar procesos la planificación, ejecución, control y seguimiento en línea de los procesos y actividades que des"/>
    <s v="Octubre"/>
    <s v="Octubre"/>
    <s v="Noviembre"/>
    <n v="12"/>
    <s v="Meses"/>
    <s v="Contratación directa "/>
    <s v="Propios - 20 - Ingresos corrientes"/>
    <n v="23079343"/>
    <n v="23079343"/>
    <s v="No"/>
    <s v="N/A"/>
    <s v="Ingrid Fernanda Vasquez"/>
    <s v="Subdirector de hidrocarburos"/>
    <n v="6012220601"/>
    <s v="ingrid.vasquez@upme.gov.co"/>
    <m/>
    <m/>
    <m/>
    <m/>
    <m/>
    <m/>
    <m/>
    <m/>
    <m/>
    <m/>
    <m/>
    <m/>
    <m/>
    <m/>
    <m/>
    <m/>
    <m/>
    <m/>
    <m/>
    <m/>
    <n v="23079343"/>
    <m/>
    <m/>
    <n v="23079343"/>
    <m/>
    <m/>
    <n v="23079343"/>
    <n v="23079343"/>
    <n v="0"/>
    <n v="0"/>
    <n v="0"/>
  </r>
  <r>
    <x v="0"/>
    <x v="8"/>
    <s v="Demanda"/>
    <s v="Si"/>
    <n v="40"/>
    <s v="160-1"/>
    <s v="1 - Mejorar la representatividad en la información de la participación de los sectores económicos en el consumo de energía."/>
    <x v="22"/>
    <x v="21"/>
    <n v="80111620"/>
    <x v="19"/>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m/>
    <m/>
    <n v="126780812"/>
    <n v="126780812"/>
    <n v="0"/>
    <n v="0"/>
    <n v="0"/>
  </r>
  <r>
    <x v="0"/>
    <x v="8"/>
    <s v="Demanda"/>
    <s v="Si"/>
    <n v="46"/>
    <s v="160-2"/>
    <s v="1 - Mejorar la representatividad en la información de la participación de los sectores económicos en el consumo de energía."/>
    <x v="22"/>
    <x v="22"/>
    <n v="80111620"/>
    <x v="19"/>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n v="529480"/>
    <m/>
    <m/>
    <m/>
    <m/>
    <m/>
    <m/>
    <n v="53742220"/>
    <n v="53742220"/>
    <n v="0"/>
    <n v="0"/>
    <n v="0"/>
  </r>
  <r>
    <x v="0"/>
    <x v="8"/>
    <s v="Demanda"/>
    <s v="Si"/>
    <s v="75 (30/12/2024)"/>
    <s v="160-3"/>
    <s v="1 - Mejorar la representatividad en la información de la participación de los sectores económicos en el consumo de energía."/>
    <x v="22"/>
    <x v="22"/>
    <n v="80111620"/>
    <x v="19"/>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r>
  <r>
    <x v="0"/>
    <x v="8"/>
    <s v="Demanda"/>
    <s v="Si"/>
    <s v="75 (30/12/2024)"/>
    <s v="160-4"/>
    <s v="1 - Mejorar la representatividad en la información de la participación de los sectores económicos en el consumo de energía."/>
    <x v="22"/>
    <x v="22"/>
    <n v="80111620"/>
    <x v="19"/>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r>
  <r>
    <x v="0"/>
    <x v="8"/>
    <s v="Demanda"/>
    <s v="Si"/>
    <s v="75 (30/12/2024)"/>
    <s v="160-5"/>
    <s v="1 - Mejorar la representatividad en la información de la participación de los sectores económicos en el consumo de energía."/>
    <x v="22"/>
    <x v="22"/>
    <n v="80111620"/>
    <x v="19"/>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m/>
    <m/>
    <n v="96068700"/>
    <n v="96068700"/>
    <n v="0"/>
    <n v="0"/>
    <n v="0"/>
  </r>
  <r>
    <x v="0"/>
    <x v="8"/>
    <s v="Demanda"/>
    <s v="Si"/>
    <n v="13"/>
    <s v="160-6"/>
    <s v="1 - Mejorar la representatividad en la información de la participación de los sectores económicos en el consumo de energía."/>
    <x v="22"/>
    <x v="22"/>
    <n v="80111620"/>
    <x v="19"/>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m/>
    <m/>
    <n v="45795750"/>
    <n v="45795750"/>
    <n v="0"/>
    <n v="0"/>
    <n v="0"/>
  </r>
  <r>
    <x v="0"/>
    <x v="8"/>
    <s v="Demanda"/>
    <s v="Si"/>
    <s v="75 (30/12/2024)"/>
    <s v="160-7"/>
    <s v="2 - Desarrollar la capacidad instalada en la planificación estratégica de la atención de la demanda."/>
    <x v="23"/>
    <x v="21"/>
    <n v="80111620"/>
    <x v="20"/>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5347200"/>
    <n v="155347200"/>
    <s v="No"/>
    <s v="N/A"/>
    <s v="Jessica Arias Gaviria"/>
    <s v="Subdirectora de Demanda"/>
    <n v="6012220601"/>
    <s v="jessica.arias@upme.gov.co"/>
    <n v="155347200"/>
    <m/>
    <m/>
    <m/>
    <n v="-1320781"/>
    <n v="13207810"/>
    <m/>
    <n v="14019012"/>
    <m/>
    <n v="14468390"/>
    <m/>
    <n v="13442756"/>
    <m/>
    <n v="14519534"/>
    <m/>
    <n v="13207810"/>
    <m/>
    <n v="13207810"/>
    <m/>
    <n v="13207810"/>
    <m/>
    <n v="13207810"/>
    <m/>
    <n v="31537677"/>
    <n v="1320781"/>
    <n v="1320781"/>
    <n v="155347200"/>
    <n v="155347200"/>
    <n v="0"/>
    <n v="0"/>
    <n v="0"/>
  </r>
  <r>
    <x v="0"/>
    <x v="8"/>
    <s v="Demanda"/>
    <s v="Si"/>
    <s v="75 (30/12/2024)"/>
    <s v="160-8"/>
    <s v="3 - Fomentar la articulación de la política pública, el marco regulatorio y la visión de gobierno."/>
    <x v="24"/>
    <x v="11"/>
    <n v="80111620"/>
    <x v="21"/>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22460640"/>
    <m/>
    <m/>
    <n v="114097500"/>
    <n v="114097500"/>
    <n v="0"/>
    <n v="0"/>
    <n v="0"/>
  </r>
  <r>
    <x v="0"/>
    <x v="8"/>
    <s v="Demanda"/>
    <s v="Si"/>
    <n v="13"/>
    <s v="160-9"/>
    <s v="1 - Mejorar la representatividad en la información de la participación de los sectores económicos en el consumo de energía."/>
    <x v="22"/>
    <x v="21"/>
    <n v="80111620"/>
    <x v="19"/>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m/>
    <m/>
    <n v="144029984"/>
    <n v="144029984"/>
    <n v="0"/>
    <n v="0"/>
    <n v="0"/>
  </r>
  <r>
    <x v="0"/>
    <x v="8"/>
    <s v="Demanda"/>
    <s v="Si"/>
    <n v="9"/>
    <s v="160-10"/>
    <s v="2 - Desarrollar la capacidad instalada en la planificación estratégica de la atención de la demanda."/>
    <x v="23"/>
    <x v="21"/>
    <n v="93142104"/>
    <x v="20"/>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160000"/>
    <n v="300160000"/>
    <s v="No"/>
    <s v="N/A"/>
    <s v="Jessica Arias Gaviria"/>
    <s v="Subdirectora de Demanda"/>
    <n v="6012220601"/>
    <s v="jessica.arias@upme.gov.co"/>
    <m/>
    <m/>
    <m/>
    <m/>
    <m/>
    <m/>
    <n v="300000000"/>
    <m/>
    <m/>
    <m/>
    <m/>
    <n v="90000000"/>
    <m/>
    <m/>
    <m/>
    <m/>
    <m/>
    <n v="120000000"/>
    <m/>
    <m/>
    <m/>
    <m/>
    <m/>
    <n v="90000000"/>
    <n v="160000"/>
    <n v="160000"/>
    <n v="300160000"/>
    <n v="300160000"/>
    <n v="0"/>
    <n v="0"/>
    <n v="0"/>
  </r>
  <r>
    <x v="0"/>
    <x v="8"/>
    <s v="Demanda"/>
    <s v="Si"/>
    <n v="13"/>
    <s v="160-11"/>
    <s v="2 - Desarrollar la capacidad instalada en la planificación estratégica de la atención de la demanda."/>
    <x v="23"/>
    <x v="32"/>
    <n v="93142104"/>
    <x v="20"/>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m/>
    <m/>
    <n v="0"/>
    <n v="0"/>
    <n v="0"/>
    <n v="0"/>
    <n v="0"/>
  </r>
  <r>
    <x v="0"/>
    <x v="8"/>
    <s v="Demanda"/>
    <s v="Si"/>
    <n v="21"/>
    <s v="160-12"/>
    <s v="3 - Fomentar la articulación de la política pública, el marco regulatorio y la visión de gobierno."/>
    <x v="24"/>
    <x v="10"/>
    <n v="81101516"/>
    <x v="21"/>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n v="225120000"/>
    <m/>
    <n v="225120000"/>
    <m/>
    <m/>
    <m/>
    <m/>
    <n v="450240000"/>
    <n v="450240000"/>
    <n v="0"/>
    <n v="0"/>
    <n v="0"/>
  </r>
  <r>
    <x v="0"/>
    <x v="8"/>
    <s v="Demanda"/>
    <s v="Si"/>
    <n v="21"/>
    <s v="160-13"/>
    <s v="3 - Fomentar la articulación de la política pública, el marco regulatorio y la visión de gobierno."/>
    <x v="24"/>
    <x v="10"/>
    <n v="81101516"/>
    <x v="21"/>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300160000"/>
    <n v="300160000"/>
    <s v="No"/>
    <s v="N/A"/>
    <s v="Jessica Arias Gaviria"/>
    <s v="Subdirectora de Demanda"/>
    <n v="6012220601"/>
    <s v="jessica.arias@upme.gov.co"/>
    <m/>
    <m/>
    <m/>
    <m/>
    <m/>
    <m/>
    <m/>
    <m/>
    <m/>
    <m/>
    <m/>
    <m/>
    <m/>
    <m/>
    <m/>
    <m/>
    <m/>
    <m/>
    <n v="300160000"/>
    <m/>
    <m/>
    <n v="75040000"/>
    <m/>
    <n v="225120000"/>
    <m/>
    <m/>
    <n v="300160000"/>
    <n v="300160000"/>
    <n v="0"/>
    <n v="0"/>
    <n v="0"/>
  </r>
  <r>
    <x v="0"/>
    <x v="8"/>
    <s v="Demanda"/>
    <s v="Si"/>
    <n v="40"/>
    <s v="160-14"/>
    <s v="1 - Mejorar la representatividad en la información de la participación de los sectores económicos en el consumo de energía."/>
    <x v="22"/>
    <x v="22"/>
    <s v="81101516;83101601"/>
    <x v="19"/>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n v="840000000"/>
    <m/>
    <m/>
    <m/>
    <n v="350820000"/>
    <m/>
    <m/>
    <n v="1190820000"/>
    <n v="1190820000"/>
    <n v="0"/>
    <n v="0"/>
    <n v="0"/>
  </r>
  <r>
    <x v="0"/>
    <x v="8"/>
    <s v="Demanda"/>
    <s v="Si"/>
    <n v="22"/>
    <s v="160-15"/>
    <s v="1 - Mejorar la representatividad en la información de la participación de los sectores económicos en el consumo de energía."/>
    <x v="22"/>
    <x v="22"/>
    <n v="81101516"/>
    <x v="19"/>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4006384"/>
    <n v="374006384"/>
    <s v="No"/>
    <s v="N/A"/>
    <s v="Jessica Arias Gaviria"/>
    <s v="Subdirectora de Demanda"/>
    <n v="6012220601"/>
    <s v="jessica.arias@upme.gov.co"/>
    <m/>
    <m/>
    <m/>
    <m/>
    <m/>
    <m/>
    <m/>
    <m/>
    <m/>
    <m/>
    <m/>
    <m/>
    <m/>
    <m/>
    <m/>
    <m/>
    <n v="371994000"/>
    <m/>
    <m/>
    <n v="112201915"/>
    <m/>
    <m/>
    <m/>
    <n v="259792085"/>
    <n v="2012384"/>
    <n v="2012384"/>
    <n v="374006384"/>
    <n v="374006384"/>
    <n v="0"/>
    <n v="0"/>
    <n v="0"/>
  </r>
  <r>
    <x v="0"/>
    <x v="8"/>
    <s v="Demanda"/>
    <s v="Si"/>
    <n v="13"/>
    <s v="160-16"/>
    <s v="2 - Desarrollar la capacidad instalada en la planificación estratégica de la atención de la demanda."/>
    <x v="23"/>
    <x v="32"/>
    <n v="80111620"/>
    <x v="20"/>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m/>
    <m/>
    <n v="98971950"/>
    <n v="98971950"/>
    <n v="0"/>
    <n v="0"/>
    <n v="0"/>
  </r>
  <r>
    <x v="0"/>
    <x v="8"/>
    <s v="Demanda"/>
    <s v="Si"/>
    <n v="2"/>
    <s v="160-17"/>
    <s v="2 - Desarrollar la capacidad instalada en la planificación estratégica de la atención de la demanda."/>
    <x v="23"/>
    <x v="32"/>
    <n v="80111620"/>
    <x v="20"/>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500000"/>
    <m/>
    <n v="12500000"/>
    <m/>
    <n v="22119500"/>
    <m/>
    <m/>
    <n v="137500000"/>
    <n v="137500000"/>
    <n v="0"/>
    <n v="0"/>
    <n v="0"/>
  </r>
  <r>
    <x v="0"/>
    <x v="8"/>
    <s v="Demanda"/>
    <s v="Si"/>
    <n v="2"/>
    <s v="160-18"/>
    <s v="3 - Fomentar la articulación de la política pública, el marco regulatorio y la visión de gobierno."/>
    <x v="24"/>
    <x v="11"/>
    <n v="80111620"/>
    <x v="21"/>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n v="411500"/>
    <m/>
    <n v="411500"/>
    <m/>
    <n v="3703500"/>
    <m/>
    <m/>
    <n v="4526500"/>
    <n v="4526500"/>
    <n v="0"/>
    <n v="0"/>
    <n v="0"/>
  </r>
  <r>
    <x v="0"/>
    <x v="8"/>
    <s v="Demanda"/>
    <s v="Si"/>
    <n v="40"/>
    <s v="160-19"/>
    <s v="3 - Fomentar la articulación de la política pública, el marco regulatorio y la visión de gobierno."/>
    <x v="24"/>
    <x v="11"/>
    <n v="78111502"/>
    <x v="21"/>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317600"/>
    <n v="20317600"/>
    <s v="No"/>
    <s v="N/A"/>
    <s v="Jessica Arias Gaviria"/>
    <s v="Subdirectora de Demanda"/>
    <n v="6012220601"/>
    <s v="jessica.arias@upme.gov.co"/>
    <m/>
    <m/>
    <m/>
    <m/>
    <m/>
    <m/>
    <m/>
    <m/>
    <m/>
    <m/>
    <n v="20000000"/>
    <m/>
    <m/>
    <n v="2590646"/>
    <m/>
    <m/>
    <m/>
    <n v="1047606"/>
    <m/>
    <n v="4431738"/>
    <m/>
    <n v="4431738"/>
    <m/>
    <n v="7498272"/>
    <n v="317600"/>
    <n v="317600"/>
    <n v="20317600"/>
    <n v="20317600"/>
    <n v="0"/>
    <n v="0"/>
    <n v="0"/>
  </r>
  <r>
    <x v="0"/>
    <x v="8"/>
    <s v="Demanda"/>
    <s v="Si"/>
    <s v="75 (30/12/2024)"/>
    <s v="160-20"/>
    <s v="3 - Fomentar la articulación de la política pública, el marco regulatorio y la visión de gobierno."/>
    <x v="24"/>
    <x v="11"/>
    <s v="N/A"/>
    <x v="21"/>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40000000"/>
    <n v="40000000"/>
    <s v="No"/>
    <s v="N/A"/>
    <s v="Jessica Arias Gaviria"/>
    <s v="Subdirectora de Demanda"/>
    <n v="6012220601"/>
    <s v="jessica.arias@upme.gov.co"/>
    <m/>
    <m/>
    <m/>
    <m/>
    <n v="1255080"/>
    <n v="1255080"/>
    <n v="1581376"/>
    <n v="320796"/>
    <n v="704838"/>
    <n v="1965418"/>
    <n v="1388718"/>
    <n v="1388718"/>
    <m/>
    <m/>
    <m/>
    <m/>
    <m/>
    <m/>
    <n v="1500000"/>
    <n v="1500000"/>
    <n v="1500000"/>
    <n v="1500000"/>
    <n v="32069988"/>
    <n v="32069988"/>
    <m/>
    <m/>
    <n v="40000000"/>
    <n v="40000000"/>
    <n v="0"/>
    <n v="0"/>
    <n v="0"/>
  </r>
  <r>
    <x v="0"/>
    <x v="8"/>
    <s v="Demanda"/>
    <s v="Si"/>
    <n v="40"/>
    <s v="160-21"/>
    <s v="2 - Desarrollar la capacidad instalada en la planificación estratégica de la atención de la demanda."/>
    <x v="23"/>
    <x v="32"/>
    <n v="80111620"/>
    <x v="20"/>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51101693"/>
    <n v="51101693"/>
    <s v="No"/>
    <s v="N/A"/>
    <s v="Jessica Arias Gaviria"/>
    <s v="Subdirectora de Demanda"/>
    <n v="6012220601"/>
    <s v="jessica.arias@upme.gov.co"/>
    <m/>
    <m/>
    <m/>
    <m/>
    <m/>
    <m/>
    <m/>
    <m/>
    <n v="51800000"/>
    <m/>
    <n v="-2100000"/>
    <n v="700000"/>
    <m/>
    <n v="7000000"/>
    <m/>
    <n v="7000000"/>
    <m/>
    <n v="7000000"/>
    <m/>
    <n v="7000000"/>
    <m/>
    <n v="7000000"/>
    <m/>
    <n v="14000000"/>
    <n v="1401693"/>
    <n v="1401693"/>
    <n v="51101693"/>
    <n v="51101693"/>
    <n v="0"/>
    <n v="0"/>
    <n v="0"/>
  </r>
  <r>
    <x v="0"/>
    <x v="8"/>
    <s v="Demanda"/>
    <s v="Si"/>
    <n v="13"/>
    <s v="160-22"/>
    <s v="2 - Desarrollar la capacidad instalada en la planificación estratégica de la atención de la demanda."/>
    <x v="23"/>
    <x v="32"/>
    <n v="43233501"/>
    <x v="20"/>
    <s v="Software-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m/>
    <m/>
    <n v="10177130"/>
    <n v="10177130"/>
    <n v="0"/>
    <n v="0"/>
    <n v="0"/>
  </r>
  <r>
    <x v="0"/>
    <x v="8"/>
    <s v="Demanda"/>
    <s v="Si"/>
    <n v="13"/>
    <s v="160-23"/>
    <s v="1 - Mejorar la representatividad en la información de la participación de los sectores económicos en el consumo de energía."/>
    <x v="22"/>
    <x v="22"/>
    <n v="43233501"/>
    <x v="19"/>
    <s v="Software-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m/>
    <m/>
    <n v="13572510"/>
    <n v="13572510"/>
    <n v="0"/>
    <n v="0"/>
    <n v="0"/>
  </r>
  <r>
    <x v="0"/>
    <x v="8"/>
    <s v="Demanda"/>
    <s v="Si"/>
    <n v="13"/>
    <s v="160-24"/>
    <s v="1 - Mejorar la representatividad en la información de la participación de los sectores económicos en el consumo de energía."/>
    <x v="22"/>
    <x v="21"/>
    <n v="43233501"/>
    <x v="19"/>
    <s v="Software-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m/>
    <m/>
    <n v="5041631"/>
    <n v="5041631"/>
    <n v="0"/>
    <n v="0"/>
    <n v="0"/>
  </r>
  <r>
    <x v="0"/>
    <x v="8"/>
    <s v="Demanda"/>
    <s v="Si"/>
    <n v="40"/>
    <s v="160-25"/>
    <s v="1 - Mejorar la representatividad en la información de la participación de los sectores económicos en el consumo de energía."/>
    <x v="22"/>
    <x v="21"/>
    <n v="80111620"/>
    <x v="19"/>
    <s v="Prestación de servicios profesionales y/o de apoyo a la gestión"/>
    <s v="160- 25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m/>
    <m/>
    <n v="2790773"/>
    <n v="930258"/>
    <m/>
    <n v="930258"/>
    <m/>
    <n v="930257"/>
    <m/>
    <m/>
    <n v="2790773"/>
    <n v="2790773"/>
    <n v="0"/>
    <n v="0"/>
    <n v="0"/>
  </r>
  <r>
    <x v="0"/>
    <x v="8"/>
    <s v="Demanda"/>
    <s v="Si"/>
    <n v="40"/>
    <s v="160-26"/>
    <s v="2 - Desarrollar la capacidad instalada en la planificación estratégica de la atención de la demanda."/>
    <x v="23"/>
    <x v="32"/>
    <n v="80111620"/>
    <x v="20"/>
    <s v="Prestación de servicios profesionales y/o de apoyo a la gestión"/>
    <s v="160- 26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409227"/>
    <n v="2409227"/>
    <s v="No"/>
    <s v="N/A"/>
    <s v="Wilson Quintero"/>
    <s v="Subdirector de Demanda"/>
    <n v="6012220601"/>
    <s v="wilson.quintero@upme.gov.co"/>
    <m/>
    <m/>
    <m/>
    <m/>
    <m/>
    <m/>
    <m/>
    <m/>
    <m/>
    <m/>
    <m/>
    <m/>
    <m/>
    <m/>
    <m/>
    <m/>
    <m/>
    <m/>
    <n v="2409227"/>
    <n v="803076"/>
    <m/>
    <n v="803076"/>
    <m/>
    <n v="803075"/>
    <m/>
    <m/>
    <n v="2409227"/>
    <n v="2409227"/>
    <n v="0"/>
    <n v="0"/>
    <n v="0"/>
  </r>
  <r>
    <x v="0"/>
    <x v="8"/>
    <s v="Demanda"/>
    <s v="Si"/>
    <n v="40"/>
    <s v="160-27"/>
    <s v="1 - Mejorar la representatividad en la información de la participación de los sectores económicos en el consumo de energía."/>
    <x v="22"/>
    <x v="22"/>
    <n v="80111620"/>
    <x v="19"/>
    <s v="Prestación de servicios profesionales y/o de apoyo a la gestión"/>
    <s v="160 -27 Prestación de servicios profesionales para adelantar labores de analítica de datos orientadas a la consolidación de modelos y algoritmos mineroenergéticos, así como para diseñar e implementar arquitecturas de datos robustas, escalables y seguras q"/>
    <s v="Agosto"/>
    <s v="Agosto"/>
    <s v="Septiembre"/>
    <n v="3.5"/>
    <s v="Meses"/>
    <s v="Contratación directa - Prestación de servicios profesionales"/>
    <s v="Propios - 20 - Ingresos corrientes"/>
    <n v="7400000"/>
    <n v="7400000"/>
    <s v="No"/>
    <s v="N/A"/>
    <s v="Wilson Quintero"/>
    <s v="Subdirector de Demanda"/>
    <n v="6012220601"/>
    <s v="wilson.quintero@upme.gov.co"/>
    <m/>
    <m/>
    <m/>
    <m/>
    <m/>
    <m/>
    <m/>
    <m/>
    <m/>
    <m/>
    <m/>
    <m/>
    <m/>
    <m/>
    <m/>
    <m/>
    <m/>
    <m/>
    <n v="7400000"/>
    <n v="2466667"/>
    <m/>
    <n v="2466667"/>
    <m/>
    <n v="2466666"/>
    <m/>
    <m/>
    <n v="7400000"/>
    <n v="7400000"/>
    <n v="0"/>
    <n v="0"/>
    <n v="0"/>
  </r>
  <r>
    <x v="0"/>
    <x v="8"/>
    <s v="Demanda"/>
    <s v="Si"/>
    <n v="40"/>
    <s v="160-28"/>
    <s v="1 - Mejorar la representatividad en la información de la participación de los sectores económicos en el consumo de energía."/>
    <x v="22"/>
    <x v="22"/>
    <n v="80111620"/>
    <x v="19"/>
    <s v="Prestación de servicios profesionales y/o de apoyo a la gestión"/>
    <s v="160- 28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1780000"/>
    <n v="1780000"/>
    <s v="No"/>
    <s v="N/A"/>
    <s v="Wilson Quintero"/>
    <s v="Subdirector de Demanda"/>
    <n v="6012220601"/>
    <s v="wilson.quintero@upme.gov.co"/>
    <m/>
    <m/>
    <m/>
    <m/>
    <m/>
    <m/>
    <m/>
    <m/>
    <m/>
    <m/>
    <m/>
    <m/>
    <m/>
    <m/>
    <m/>
    <m/>
    <m/>
    <m/>
    <n v="1780000"/>
    <n v="593333"/>
    <m/>
    <n v="593333"/>
    <m/>
    <n v="593334"/>
    <m/>
    <m/>
    <n v="1780000"/>
    <n v="1780000"/>
    <n v="0"/>
    <n v="0"/>
    <n v="0"/>
  </r>
  <r>
    <x v="0"/>
    <x v="8"/>
    <s v="Demanda"/>
    <s v="Si"/>
    <n v="40"/>
    <s v="160-29"/>
    <s v="3 - Fomentar la articulación de la política pública, el marco regulatorio y la visión de gobierno."/>
    <x v="24"/>
    <x v="11"/>
    <n v="80111620"/>
    <x v="21"/>
    <s v="Prestación de servicios profesionales y/o de apoyo a la gestión"/>
    <s v="160- 29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5620000"/>
    <n v="5620000"/>
    <s v="No"/>
    <s v="N/A"/>
    <s v="Wilson Quintero"/>
    <s v="Subdirector de Demanda"/>
    <n v="6012220601"/>
    <s v="wilson.quintero@upme.gov.co"/>
    <m/>
    <m/>
    <m/>
    <m/>
    <m/>
    <m/>
    <m/>
    <m/>
    <m/>
    <m/>
    <m/>
    <m/>
    <m/>
    <m/>
    <m/>
    <m/>
    <m/>
    <m/>
    <n v="5620000"/>
    <n v="1873333"/>
    <m/>
    <n v="1873333"/>
    <m/>
    <n v="1873334"/>
    <m/>
    <m/>
    <n v="5620000"/>
    <n v="5620000"/>
    <n v="0"/>
    <n v="0"/>
    <n v="0"/>
  </r>
  <r>
    <x v="0"/>
    <x v="8"/>
    <s v="Demanda"/>
    <s v="Si"/>
    <n v="46"/>
    <s v="160-30"/>
    <s v="3 - Fomentar la articulación de la política pública, el marco regulatorio y la visión de gobierno."/>
    <x v="24"/>
    <x v="11"/>
    <n v="80111620"/>
    <x v="21"/>
    <s v="Prestación de servicios profesionales y/o de apoyo a la gestión"/>
    <s v="160 - 30 Prestación de servicios profesionales para el diseño y desarrollo de la estrategia de divulgación de productos de analítica y del portal SIMEC, así como la documentación, el diseño y el soporte técnico de los portales interactivos en desarrollo p"/>
    <s v="Agosto"/>
    <s v="Agosto"/>
    <s v="Septiembre"/>
    <n v="3.5"/>
    <s v="Meses"/>
    <s v="Contratación directa - Prestación de servicios profesionales"/>
    <s v="Propios - 20 - Ingresos corrientes"/>
    <n v="6933000"/>
    <n v="6933000"/>
    <s v="No"/>
    <s v="N/A"/>
    <s v="Wilson Quintero"/>
    <s v="Subdirector de Demanda"/>
    <n v="6012220601"/>
    <s v="wilson.quintero@upme.gov.co"/>
    <m/>
    <m/>
    <m/>
    <m/>
    <m/>
    <m/>
    <m/>
    <m/>
    <m/>
    <m/>
    <m/>
    <m/>
    <m/>
    <m/>
    <m/>
    <m/>
    <m/>
    <m/>
    <n v="6933000"/>
    <n v="933000"/>
    <m/>
    <n v="2000000"/>
    <m/>
    <n v="4000000"/>
    <m/>
    <m/>
    <n v="6933000"/>
    <n v="6933000"/>
    <n v="0"/>
    <n v="0"/>
    <n v="0"/>
  </r>
  <r>
    <x v="0"/>
    <x v="8"/>
    <s v="Demanda"/>
    <s v="Si"/>
    <n v="46"/>
    <s v="160-31"/>
    <s v="3 - Fomentar la articulación de la política pública, el marco regulatorio y la visión de gobierno."/>
    <x v="24"/>
    <x v="11"/>
    <n v="80111620"/>
    <x v="21"/>
    <s v="Prestación de servicios profesionales y/o de apoyo a la gestión"/>
    <s v="160 - 31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400"/>
    <m/>
    <m/>
    <m/>
    <m/>
    <n v="7129400"/>
    <m/>
    <m/>
    <n v="7129400"/>
    <n v="7129400"/>
    <n v="0"/>
    <n v="0"/>
    <n v="0"/>
  </r>
  <r>
    <x v="0"/>
    <x v="8"/>
    <s v="Demanda"/>
    <s v="Si"/>
    <n v="46"/>
    <s v="160-32"/>
    <s v="1 - Mejorar la representatividad en la información de la participación de los sectores económicos en el consumo de energía."/>
    <x v="22"/>
    <x v="22"/>
    <n v="80111620"/>
    <x v="19"/>
    <s v="Prestación de servicios profesionales y/o de apoyo a la gestión"/>
    <s v="160 - 32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m/>
    <m/>
    <n v="1239320"/>
    <n v="1239320"/>
    <n v="0"/>
    <n v="0"/>
    <n v="0"/>
  </r>
  <r>
    <x v="0"/>
    <x v="8"/>
    <s v="Demanda"/>
    <s v="Si"/>
    <n v="46"/>
    <s v="160-33"/>
    <s v="1 - Mejorar la representatividad en la información de la participación de los sectores económicos en el consumo de energía."/>
    <x v="22"/>
    <x v="22"/>
    <n v="80111620"/>
    <x v="19"/>
    <s v="Software- Licencias"/>
    <s v="160 - 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m/>
    <m/>
    <n v="30000000"/>
    <n v="30000000"/>
    <n v="0"/>
    <n v="0"/>
    <n v="0"/>
  </r>
  <r>
    <x v="0"/>
    <x v="9"/>
    <s v="Territorial"/>
    <s v="Si"/>
    <s v="75 (30/12/2024)"/>
    <s v="100-1"/>
    <s v="1 - Incluir el uso de las particularidades propias de cada territorio en la planeación minero energética."/>
    <x v="0"/>
    <x v="33"/>
    <n v="80111620"/>
    <x v="2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m/>
    <m/>
    <n v="50000000"/>
    <n v="50000000"/>
    <n v="0"/>
    <n v="0"/>
    <n v="0"/>
  </r>
  <r>
    <x v="0"/>
    <x v="9"/>
    <s v="Territorial"/>
    <s v="Si"/>
    <n v="13"/>
    <s v="100-2"/>
    <s v="1 - Incluir el uso de las particularidades propias de cada territorio en la planeación minero energética."/>
    <x v="0"/>
    <x v="33"/>
    <n v="80111620"/>
    <x v="2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m/>
    <m/>
    <n v="50400000"/>
    <n v="50400000"/>
    <n v="0"/>
    <n v="0"/>
    <n v="0"/>
  </r>
  <r>
    <x v="0"/>
    <x v="9"/>
    <s v="Territorial"/>
    <s v="Si"/>
    <s v="01"/>
    <s v="100-3"/>
    <s v="1 - Incluir el uso de las particularidades propias de cada territorio en la planeación minero energética."/>
    <x v="0"/>
    <x v="33"/>
    <n v="80111620"/>
    <x v="2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m/>
    <m/>
    <n v="18000000"/>
    <n v="18000000"/>
    <n v="0"/>
    <n v="0"/>
    <n v="0"/>
  </r>
  <r>
    <x v="0"/>
    <x v="9"/>
    <s v="Territorial"/>
    <s v="Si"/>
    <n v="25"/>
    <s v="100-4"/>
    <s v="1 - Incluir el uso de las particularidades propias de cada territorio en la planeación minero energética."/>
    <x v="0"/>
    <x v="33"/>
    <n v="80111620"/>
    <x v="2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4551995"/>
    <n v="4551995"/>
    <s v="No"/>
    <s v="N/A"/>
    <s v="Ingrid Viviana Garzón"/>
    <s v="Asesora Dirección general"/>
    <n v="6012220601"/>
    <s v="ingrid.garzon@upme.gov.co"/>
    <m/>
    <m/>
    <m/>
    <m/>
    <m/>
    <m/>
    <m/>
    <m/>
    <m/>
    <m/>
    <m/>
    <m/>
    <m/>
    <m/>
    <m/>
    <m/>
    <m/>
    <m/>
    <m/>
    <m/>
    <m/>
    <m/>
    <m/>
    <n v="4551995"/>
    <n v="4551995"/>
    <m/>
    <n v="4551995"/>
    <n v="4551995"/>
    <n v="0"/>
    <n v="0"/>
    <n v="0"/>
  </r>
  <r>
    <x v="0"/>
    <x v="9"/>
    <s v="Territorial"/>
    <s v="Si"/>
    <n v="11"/>
    <s v="100-5"/>
    <s v="1 - Incluir el uso de las particularidades propias de cada territorio en la planeación minero energética."/>
    <x v="0"/>
    <x v="33"/>
    <n v="80111620"/>
    <x v="2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1400000"/>
    <n v="81400000"/>
    <s v="No"/>
    <s v="N/A"/>
    <s v="Ingrid Viviana Garzón"/>
    <s v="Asesora Dirección general"/>
    <n v="6012220601"/>
    <s v="ingrid.garzon@upme.gov.co"/>
    <n v="81400000"/>
    <m/>
    <m/>
    <n v="1726667"/>
    <m/>
    <n v="7400000"/>
    <m/>
    <n v="7400000"/>
    <m/>
    <n v="7400000"/>
    <m/>
    <n v="7400000"/>
    <m/>
    <n v="7400000"/>
    <m/>
    <n v="7400000"/>
    <m/>
    <n v="7400000"/>
    <m/>
    <n v="7400000"/>
    <m/>
    <n v="7400000"/>
    <m/>
    <n v="13073333"/>
    <m/>
    <m/>
    <n v="81400000"/>
    <n v="81400000"/>
    <n v="0"/>
    <n v="0"/>
    <n v="0"/>
  </r>
  <r>
    <x v="0"/>
    <x v="9"/>
    <s v="Territorial"/>
    <s v="Si"/>
    <n v="46"/>
    <s v="100-6"/>
    <s v="1 - Incluir el uso de las particularidades propias de cada territorio en la planeación minero energética."/>
    <x v="0"/>
    <x v="33"/>
    <n v="80111620"/>
    <x v="2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m/>
    <m/>
    <n v="9493510"/>
    <m/>
    <n v="21709086"/>
    <m/>
    <m/>
    <n v="31202596"/>
    <n v="31202596"/>
    <n v="0"/>
    <n v="0"/>
    <n v="0"/>
  </r>
  <r>
    <x v="0"/>
    <x v="9"/>
    <s v="Territorial"/>
    <s v="Si"/>
    <s v="75 (30/12/2024)"/>
    <s v="100-7"/>
    <s v="1 - Incluir el uso de las particularidades propias de cada territorio en la planeación minero energética."/>
    <x v="0"/>
    <x v="33"/>
    <n v="80111620"/>
    <x v="2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5075000"/>
    <n v="75075000"/>
    <s v="No"/>
    <s v="N/A"/>
    <s v="Ingrid Viviana Garzón"/>
    <s v="Asesora Dirección general"/>
    <n v="6012220601"/>
    <s v="ingrid.garzon@upme.gov.co"/>
    <m/>
    <m/>
    <m/>
    <m/>
    <n v="75075000"/>
    <m/>
    <m/>
    <n v="3412500"/>
    <n v="-787500"/>
    <n v="7875000"/>
    <m/>
    <n v="7875000"/>
    <m/>
    <n v="7875000"/>
    <m/>
    <n v="7875000"/>
    <m/>
    <n v="7875000"/>
    <m/>
    <n v="7875000"/>
    <m/>
    <n v="7875000"/>
    <m/>
    <n v="15750000"/>
    <n v="787500"/>
    <n v="787500"/>
    <n v="75075000"/>
    <n v="75075000"/>
    <n v="0"/>
    <n v="0"/>
    <n v="0"/>
  </r>
  <r>
    <x v="0"/>
    <x v="9"/>
    <s v="Territorial"/>
    <s v="Si"/>
    <n v="2"/>
    <s v="100-8"/>
    <s v="1 - Incluir el uso de las particularidades propias de cada territorio en la planeación minero energética."/>
    <x v="0"/>
    <x v="33"/>
    <n v="80111620"/>
    <x v="2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900000"/>
    <n v="79900000"/>
    <s v="No"/>
    <s v="N/A"/>
    <s v="Ingrid Viviana Garzón"/>
    <s v="Asesora Dirección general"/>
    <n v="6012220601"/>
    <s v="ingrid.garzon@upme.gov.co"/>
    <m/>
    <m/>
    <n v="79900000"/>
    <m/>
    <m/>
    <n v="4370000"/>
    <n v="-460000"/>
    <n v="7435675"/>
    <m/>
    <n v="6900000"/>
    <m/>
    <n v="7845675"/>
    <m/>
    <n v="6900000"/>
    <m/>
    <n v="6900000"/>
    <m/>
    <n v="6900000"/>
    <m/>
    <n v="7900000"/>
    <m/>
    <n v="7900000"/>
    <m/>
    <n v="15848650"/>
    <n v="460000"/>
    <n v="1000000"/>
    <n v="79900000"/>
    <n v="79900000"/>
    <n v="0"/>
    <n v="0"/>
    <n v="0"/>
  </r>
  <r>
    <x v="0"/>
    <x v="9"/>
    <s v="Territorial"/>
    <s v="Si"/>
    <n v="42"/>
    <s v="100-9"/>
    <s v="1 - Incluir el uso de las particularidades propias de cada territorio en la planeación minero energética."/>
    <x v="0"/>
    <x v="33"/>
    <n v="78111502"/>
    <x v="2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62547940"/>
    <n v="162547940"/>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m/>
    <m/>
    <n v="3725645.5"/>
    <m/>
    <n v="3725645.5"/>
    <n v="19129026"/>
    <n v="19129026"/>
    <n v="162547940"/>
    <n v="162547940"/>
    <n v="0"/>
    <n v="0"/>
    <n v="0"/>
  </r>
  <r>
    <x v="0"/>
    <x v="9"/>
    <s v="Territorial"/>
    <s v="Si"/>
    <n v="11"/>
    <s v="100-10"/>
    <s v="1 - Incluir el uso de las particularidades propias de cada territorio en la planeación minero energética."/>
    <x v="0"/>
    <x v="33"/>
    <n v="80111620"/>
    <x v="2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66000000"/>
    <n v="66000000"/>
    <s v="No"/>
    <s v="N/A"/>
    <s v="Ingrid Viviana Garzón"/>
    <s v="Asesora Dirección general"/>
    <n v="6012220601"/>
    <s v="ingrid.garzon@upme.gov.co"/>
    <m/>
    <m/>
    <n v="66000000"/>
    <m/>
    <m/>
    <n v="1400000"/>
    <m/>
    <n v="7000000"/>
    <m/>
    <n v="7826125"/>
    <m/>
    <n v="7826125"/>
    <m/>
    <n v="7495675"/>
    <m/>
    <n v="7000000"/>
    <m/>
    <n v="7000000"/>
    <m/>
    <n v="7000000"/>
    <m/>
    <n v="7000000"/>
    <m/>
    <n v="6452075"/>
    <m/>
    <m/>
    <n v="66000000"/>
    <n v="66000000"/>
    <n v="0"/>
    <n v="0"/>
    <n v="0"/>
  </r>
  <r>
    <x v="0"/>
    <x v="9"/>
    <s v="Territorial"/>
    <s v="Si"/>
    <n v="38"/>
    <s v="100-11"/>
    <s v="2 - Fortalecer el conocimiento de la población y el territorio en cuanto a la dinámica de la planeación minero energética."/>
    <x v="25"/>
    <x v="34"/>
    <n v="80111620"/>
    <x v="23"/>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r>
  <r>
    <x v="0"/>
    <x v="9"/>
    <s v="Territorial"/>
    <s v="Si"/>
    <n v="46"/>
    <s v="100-12"/>
    <s v="1 - Incluir el uso de las particularidades propias de cada territorio en la planeación minero energética."/>
    <x v="0"/>
    <x v="33"/>
    <n v="80111620"/>
    <x v="2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4276480"/>
    <n v="34276480"/>
    <s v="No"/>
    <s v="N/A"/>
    <s v="Ingrid Viviana Garzón"/>
    <s v="Asesora Dirección general"/>
    <n v="6012220601"/>
    <s v="ingrid.garzon@upme.gov.co"/>
    <m/>
    <m/>
    <m/>
    <m/>
    <m/>
    <m/>
    <n v="34276480"/>
    <m/>
    <m/>
    <n v="3366440"/>
    <m/>
    <n v="4590600"/>
    <m/>
    <n v="4590600"/>
    <m/>
    <n v="4590600"/>
    <m/>
    <n v="4590600"/>
    <m/>
    <n v="4590600"/>
    <m/>
    <n v="4590600"/>
    <m/>
    <n v="3366440"/>
    <m/>
    <m/>
    <n v="34276480"/>
    <n v="34276480"/>
    <n v="0"/>
    <n v="0"/>
    <n v="0"/>
  </r>
  <r>
    <x v="0"/>
    <x v="9"/>
    <s v="Territorial"/>
    <s v="Si"/>
    <n v="11"/>
    <s v="100-13"/>
    <s v="1 - Incluir el uso de las particularidades propias de cada territorio en la planeación minero energética."/>
    <x v="0"/>
    <x v="33"/>
    <n v="80111620"/>
    <x v="2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n v="4666667"/>
    <m/>
    <m/>
    <m/>
    <m/>
    <n v="56000000"/>
    <n v="56000000"/>
    <n v="0"/>
    <n v="0"/>
    <n v="0"/>
  </r>
  <r>
    <x v="0"/>
    <x v="9"/>
    <s v="Territorial"/>
    <s v="Si"/>
    <n v="46"/>
    <s v="100-14"/>
    <s v="1 - Incluir el uso de las particularidades propias de cada territorio en la planeación minero energética."/>
    <x v="0"/>
    <x v="33"/>
    <n v="80111620"/>
    <x v="2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42000000"/>
    <n v="42000000"/>
    <s v="No"/>
    <s v="N/A"/>
    <s v="Ingrid Viviana Garzón"/>
    <s v="Asesora Dirección general"/>
    <n v="6012220601"/>
    <s v="ingrid.garzon@upme.gov.co"/>
    <m/>
    <m/>
    <m/>
    <m/>
    <m/>
    <m/>
    <n v="42000000"/>
    <m/>
    <m/>
    <m/>
    <m/>
    <n v="13766666"/>
    <m/>
    <m/>
    <m/>
    <n v="7000000"/>
    <n v="-6066667"/>
    <n v="14000000"/>
    <m/>
    <n v="1166667"/>
    <m/>
    <m/>
    <m/>
    <m/>
    <n v="6066667"/>
    <n v="6066667"/>
    <n v="42000000"/>
    <n v="42000000"/>
    <n v="0"/>
    <n v="0"/>
    <n v="0"/>
  </r>
  <r>
    <x v="0"/>
    <x v="9"/>
    <s v="Territorial"/>
    <s v="Si"/>
    <s v="75 (30/12/2024)"/>
    <s v="100-15"/>
    <s v="1 - Incluir el uso de las particularidades propias de cada territorio en la planeación minero energética."/>
    <x v="0"/>
    <x v="33"/>
    <n v="80111620"/>
    <x v="2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m/>
    <m/>
    <n v="66000000"/>
    <n v="66000000"/>
    <n v="0"/>
    <n v="0"/>
    <n v="0"/>
  </r>
  <r>
    <x v="0"/>
    <x v="9"/>
    <s v="Territorial"/>
    <s v="Si"/>
    <n v="46"/>
    <s v="100-16"/>
    <s v="1 - Incluir el uso de las particularidades propias de cada territorio en la planeación minero energética."/>
    <x v="0"/>
    <x v="33"/>
    <n v="80111620"/>
    <x v="2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2500000"/>
    <n v="22500000"/>
    <s v="No"/>
    <s v="N/A"/>
    <s v="Ingrid Viviana Garzón"/>
    <s v="Asesora Dirección general"/>
    <n v="6012220601"/>
    <s v="ingrid.garzon@upme.gov.co"/>
    <m/>
    <m/>
    <m/>
    <m/>
    <m/>
    <m/>
    <m/>
    <m/>
    <m/>
    <m/>
    <m/>
    <m/>
    <m/>
    <m/>
    <m/>
    <m/>
    <m/>
    <m/>
    <n v="22500000"/>
    <m/>
    <m/>
    <n v="7500000"/>
    <m/>
    <n v="15000000"/>
    <m/>
    <m/>
    <n v="22500000"/>
    <n v="22500000"/>
    <n v="0"/>
    <n v="0"/>
    <n v="0"/>
  </r>
  <r>
    <x v="0"/>
    <x v="9"/>
    <s v="Territorial"/>
    <s v="Si"/>
    <n v="13"/>
    <s v="100-17"/>
    <s v="1 - Incluir el uso de las particularidades propias de cada territorio en la planeación minero energética."/>
    <x v="0"/>
    <x v="33"/>
    <n v="80101602"/>
    <x v="2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42000000"/>
    <m/>
    <n v="6000000"/>
    <m/>
    <m/>
    <n v="60000000"/>
    <n v="60000000"/>
    <n v="0"/>
    <n v="0"/>
    <n v="0"/>
  </r>
  <r>
    <x v="0"/>
    <x v="9"/>
    <s v="Territorial"/>
    <s v="Si"/>
    <n v="13"/>
    <s v="100-18"/>
    <s v="1 - Incluir el uso de las particularidades propias de cada territorio en la planeación minero energética."/>
    <x v="0"/>
    <x v="33"/>
    <n v="80111620"/>
    <x v="2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85340001"/>
    <n v="85340001"/>
    <s v="No"/>
    <s v="N/A"/>
    <s v="Ingrid Viviana Garzón"/>
    <s v="Asesora Dirección general"/>
    <n v="6012220601"/>
    <s v="ingrid.garzon@upme.gov.co"/>
    <m/>
    <m/>
    <m/>
    <m/>
    <m/>
    <m/>
    <n v="85340001"/>
    <m/>
    <m/>
    <n v="6897700"/>
    <n v="-2099300"/>
    <n v="8997000"/>
    <m/>
    <n v="8997000"/>
    <m/>
    <n v="8997000"/>
    <m/>
    <n v="8997000"/>
    <m/>
    <n v="8997000"/>
    <m/>
    <n v="8997000"/>
    <m/>
    <n v="17994000"/>
    <n v="2099300"/>
    <n v="6466301"/>
    <n v="85340001"/>
    <n v="85340001"/>
    <n v="0"/>
    <n v="0"/>
    <n v="0"/>
  </r>
  <r>
    <x v="0"/>
    <x v="9"/>
    <s v="Territorial"/>
    <s v="Si"/>
    <s v="75 (30/12/2024)"/>
    <s v="100-19"/>
    <s v="1 - Incluir el uso de las particularidades propias de cada territorio en la planeación minero energética."/>
    <x v="0"/>
    <x v="33"/>
    <n v="80111620"/>
    <x v="2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m/>
    <m/>
    <n v="3698783"/>
    <m/>
    <m/>
    <n v="12198783"/>
    <n v="12198783"/>
    <n v="0"/>
    <n v="0"/>
    <n v="0"/>
  </r>
  <r>
    <x v="0"/>
    <x v="9"/>
    <s v="Territorial"/>
    <s v="Si"/>
    <s v="75 (30/12/2024)"/>
    <s v="100-20"/>
    <s v="1 - Incluir el uso de las particularidades propias de cada territorio en la planeación minero energética."/>
    <x v="0"/>
    <x v="33"/>
    <n v="80111620"/>
    <x v="2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m/>
    <m/>
    <n v="12198783"/>
    <n v="12198783"/>
    <n v="0"/>
    <n v="0"/>
    <n v="0"/>
  </r>
  <r>
    <x v="0"/>
    <x v="9"/>
    <s v="Territorial"/>
    <s v="Si"/>
    <n v="42"/>
    <s v="100-21"/>
    <s v="1 - Incluir el uso de las particularidades propias de cada territorio en la planeación minero energética."/>
    <x v="0"/>
    <x v="33"/>
    <n v="80111620"/>
    <x v="2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m/>
    <m/>
    <n v="68000000"/>
    <n v="68000000"/>
    <n v="0"/>
    <n v="0"/>
    <n v="0"/>
  </r>
  <r>
    <x v="0"/>
    <x v="9"/>
    <s v="Territorial"/>
    <s v="Si"/>
    <n v="31"/>
    <s v="100-22"/>
    <s v="1 - Incluir el uso de las particularidades propias de cada territorio en la planeación minero energética."/>
    <x v="0"/>
    <x v="33"/>
    <n v="80111620"/>
    <x v="2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m/>
    <m/>
    <n v="9600000"/>
    <n v="9600000"/>
    <n v="0"/>
    <n v="0"/>
    <n v="0"/>
  </r>
  <r>
    <x v="0"/>
    <x v="9"/>
    <s v="Territorial"/>
    <s v="Si"/>
    <s v="75 (30/12/2024)"/>
    <s v="100-23"/>
    <s v="1 - Incluir el uso de las particularidades propias de cada territorio en la planeación minero energética."/>
    <x v="0"/>
    <x v="33"/>
    <n v="80111620"/>
    <x v="2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6513333"/>
    <n v="66513333"/>
    <s v="No"/>
    <s v="N/A"/>
    <s v="Ingrid Viviana Garzón"/>
    <s v="Asesora Dirección general"/>
    <n v="6012220601"/>
    <s v="ingrid.garzon@upme.gov.co"/>
    <m/>
    <m/>
    <m/>
    <m/>
    <n v="66513333"/>
    <m/>
    <m/>
    <n v="4830000"/>
    <m/>
    <n v="6900000"/>
    <m/>
    <n v="7520675"/>
    <m/>
    <n v="6900000"/>
    <m/>
    <n v="6900000"/>
    <m/>
    <n v="6900000"/>
    <m/>
    <n v="7300000"/>
    <m/>
    <n v="6900000"/>
    <m/>
    <n v="12362658"/>
    <m/>
    <m/>
    <n v="66513333"/>
    <n v="66513333"/>
    <n v="0"/>
    <n v="0"/>
    <n v="0"/>
  </r>
  <r>
    <x v="0"/>
    <x v="9"/>
    <s v="Territorial"/>
    <s v="Si"/>
    <n v="13"/>
    <s v="100-24"/>
    <s v="1 - Incluir el uso de las particularidades propias de cada territorio en la planeación minero energética."/>
    <x v="0"/>
    <x v="33"/>
    <n v="80111620"/>
    <x v="2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37579900"/>
    <n v="37579900"/>
    <s v="No"/>
    <s v="N/A"/>
    <s v="Ingrid Viviana Garzón"/>
    <s v="Asesora Dirección general"/>
    <n v="6012220601"/>
    <s v="ingrid.garzon@upme.gov.co"/>
    <m/>
    <m/>
    <m/>
    <m/>
    <m/>
    <m/>
    <n v="37579900"/>
    <m/>
    <m/>
    <n v="3333333"/>
    <m/>
    <n v="5000000"/>
    <m/>
    <n v="5000000"/>
    <m/>
    <n v="5000000"/>
    <m/>
    <n v="5000000"/>
    <m/>
    <n v="5000000"/>
    <m/>
    <n v="5000000"/>
    <m/>
    <n v="4246567"/>
    <m/>
    <m/>
    <n v="37579900"/>
    <n v="37579900"/>
    <n v="0"/>
    <n v="0"/>
    <n v="0"/>
  </r>
  <r>
    <x v="0"/>
    <x v="9"/>
    <s v="Territorial"/>
    <s v="Si"/>
    <n v="46"/>
    <s v="100-25"/>
    <s v="1 - Incluir el uso de las particularidades propias de cada territorio en la planeación minero energética."/>
    <x v="0"/>
    <x v="33"/>
    <n v="80111620"/>
    <x v="2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1841050"/>
    <n v="21841050"/>
    <s v="No"/>
    <s v="N/A"/>
    <s v="Ingrid Viviana Garzón"/>
    <s v="Asesora Dirección general"/>
    <n v="6012220601"/>
    <s v="ingrid.garzon@upme.gov.co"/>
    <m/>
    <m/>
    <m/>
    <m/>
    <m/>
    <m/>
    <m/>
    <m/>
    <m/>
    <m/>
    <m/>
    <m/>
    <m/>
    <m/>
    <m/>
    <m/>
    <n v="21841050"/>
    <m/>
    <m/>
    <n v="4227300"/>
    <m/>
    <n v="4227300"/>
    <m/>
    <n v="8454600"/>
    <m/>
    <n v="4931850"/>
    <n v="21841050"/>
    <n v="21841050"/>
    <n v="0"/>
    <n v="0"/>
    <n v="0"/>
  </r>
  <r>
    <x v="0"/>
    <x v="9"/>
    <s v="Territorial"/>
    <s v="Si"/>
    <n v="8"/>
    <s v="100-26"/>
    <s v="1 - Incluir el uso de las particularidades propias de cada territorio en la planeación minero energética."/>
    <x v="0"/>
    <x v="33"/>
    <n v="80111620"/>
    <x v="2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m/>
    <m/>
    <n v="25600000"/>
    <n v="25600000"/>
    <n v="0"/>
    <n v="0"/>
    <n v="0"/>
  </r>
  <r>
    <x v="0"/>
    <x v="9"/>
    <s v="Territorial"/>
    <s v="Si"/>
    <n v="2"/>
    <s v="100-27"/>
    <s v="1 - Incluir el uso de las particularidades propias de cada territorio en la planeación minero energética."/>
    <x v="0"/>
    <x v="33"/>
    <n v="80111620"/>
    <x v="2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85600000"/>
    <n v="85600000"/>
    <s v="No"/>
    <s v="N/A"/>
    <s v="Ingrid Viviana Garzón"/>
    <s v="Asesora Dirección general"/>
    <n v="6012220601"/>
    <s v="ingrid.garzon@upme.gov.co"/>
    <m/>
    <m/>
    <n v="85600000"/>
    <m/>
    <m/>
    <n v="4419600"/>
    <m/>
    <n v="7901675"/>
    <m/>
    <n v="7366000"/>
    <m/>
    <n v="7986675"/>
    <m/>
    <n v="7366000"/>
    <m/>
    <n v="7366000"/>
    <m/>
    <n v="7366000"/>
    <m/>
    <n v="8213975"/>
    <m/>
    <n v="8213975"/>
    <m/>
    <n v="16427950"/>
    <m/>
    <n v="2972150"/>
    <n v="85600000"/>
    <n v="85600000"/>
    <n v="0"/>
    <n v="0"/>
    <n v="0"/>
  </r>
  <r>
    <x v="0"/>
    <x v="9"/>
    <s v="Territorial"/>
    <s v="Si"/>
    <n v="46"/>
    <s v="100-28"/>
    <s v="1 - Incluir el uso de las particularidades propias de cada territorio en la planeación minero energética."/>
    <x v="0"/>
    <x v="33"/>
    <n v="80111620"/>
    <x v="2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tre niveles de gobier"/>
    <s v="Julio"/>
    <s v="Julio"/>
    <s v="Agosto"/>
    <n v="5.5"/>
    <s v="Meses"/>
    <s v="Contratación directa - Prestación de servicios profesionales"/>
    <s v="Propios - 20 - Ingresos corrientes"/>
    <n v="35966667"/>
    <n v="35966667"/>
    <s v="No"/>
    <s v="N/A"/>
    <s v="Ingrid Viviana Garzón"/>
    <s v="Asesora Dirección general"/>
    <n v="6012220601"/>
    <s v="ingrid.garzon@upme.gov.co"/>
    <m/>
    <m/>
    <m/>
    <m/>
    <m/>
    <m/>
    <m/>
    <m/>
    <m/>
    <m/>
    <m/>
    <m/>
    <m/>
    <m/>
    <m/>
    <m/>
    <m/>
    <m/>
    <n v="17333333"/>
    <m/>
    <m/>
    <n v="4333333"/>
    <m/>
    <n v="13000000"/>
    <n v="18633334"/>
    <n v="18633334"/>
    <n v="35966667"/>
    <n v="35966667"/>
    <n v="0"/>
    <n v="0"/>
    <n v="0"/>
  </r>
  <r>
    <x v="0"/>
    <x v="9"/>
    <s v="Territorial"/>
    <s v="Si"/>
    <s v="01"/>
    <s v="100-29"/>
    <s v="1 - Incluir el uso de las particularidades propias de cada territorio en la planeación minero energética."/>
    <x v="0"/>
    <x v="35"/>
    <n v="80111620"/>
    <x v="2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000000"/>
    <m/>
    <n v="8000000"/>
    <m/>
    <n v="16000000"/>
    <m/>
    <n v="400000"/>
    <n v="94000000"/>
    <n v="94000000"/>
    <n v="0"/>
    <n v="0"/>
    <n v="0"/>
  </r>
  <r>
    <x v="0"/>
    <x v="9"/>
    <s v="Territorial"/>
    <s v="Si"/>
    <s v="75 (30/12/2024)"/>
    <s v="100-30"/>
    <s v="1 - Incluir el uso de las particularidades propias de cada territorio en la planeación minero energética."/>
    <x v="0"/>
    <x v="35"/>
    <n v="80111620"/>
    <x v="2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m/>
    <m/>
    <n v="82800000"/>
    <n v="82800000"/>
    <n v="0"/>
    <n v="0"/>
    <n v="0"/>
  </r>
  <r>
    <x v="0"/>
    <x v="9"/>
    <s v="Territorial"/>
    <s v="Si"/>
    <n v="11"/>
    <s v="100-31"/>
    <s v="1 - Incluir el uso de las particularidades propias de cada territorio en la planeación minero energética."/>
    <x v="0"/>
    <x v="35"/>
    <n v="80111620"/>
    <x v="2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613950"/>
    <n v="48613950"/>
    <s v="No"/>
    <s v="N/A"/>
    <s v="Ingrid Viviana Garzón"/>
    <s v="Asesora Dirección general"/>
    <n v="6012220601"/>
    <s v="ingrid.garzon@upme.gov.co"/>
    <n v="48613950"/>
    <m/>
    <m/>
    <n v="1972740"/>
    <n v="-140910"/>
    <n v="4227300"/>
    <m/>
    <n v="4227300"/>
    <m/>
    <n v="4227300"/>
    <m/>
    <n v="4227300"/>
    <m/>
    <n v="4227300"/>
    <m/>
    <n v="4227300"/>
    <m/>
    <n v="4227300"/>
    <m/>
    <n v="4227300"/>
    <m/>
    <n v="4227300"/>
    <m/>
    <n v="8595510"/>
    <n v="140910"/>
    <m/>
    <n v="48613950"/>
    <n v="48613950"/>
    <n v="0"/>
    <n v="0"/>
    <n v="0"/>
  </r>
  <r>
    <x v="0"/>
    <x v="9"/>
    <s v="Territorial"/>
    <s v="Si"/>
    <n v="46"/>
    <s v="100-32"/>
    <s v="1 - Incluir el uso de las particularidades propias de cada territorio en la planeación minero energética."/>
    <x v="0"/>
    <x v="35"/>
    <n v="80111620"/>
    <x v="2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874270"/>
    <n v="23874270"/>
    <s v="No"/>
    <s v="N/A"/>
    <s v="Ingrid Viviana Garzón"/>
    <s v="Asesora Dirección general"/>
    <n v="6012220601"/>
    <s v="ingrid.garzon@upme.gov.co"/>
    <m/>
    <m/>
    <n v="38958800"/>
    <m/>
    <m/>
    <n v="2969538"/>
    <n v="-438060"/>
    <n v="3285450"/>
    <m/>
    <n v="3285450"/>
    <m/>
    <n v="3285450"/>
    <m/>
    <n v="3285450"/>
    <m/>
    <n v="3285450"/>
    <n v="-15084530"/>
    <n v="3285450"/>
    <m/>
    <n v="753972"/>
    <m/>
    <m/>
    <m/>
    <m/>
    <n v="438060"/>
    <n v="438060"/>
    <n v="23874270"/>
    <n v="23874270"/>
    <n v="0"/>
    <n v="0"/>
    <n v="0"/>
  </r>
  <r>
    <x v="0"/>
    <x v="9"/>
    <s v="Territorial"/>
    <s v="Si"/>
    <n v="11"/>
    <s v="100-33"/>
    <s v="1 - Incluir el uso de las particularidades propias de cada territorio en la planeación minero energética."/>
    <x v="0"/>
    <x v="35"/>
    <n v="80111620"/>
    <x v="2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m/>
    <m/>
    <n v="55000000"/>
    <n v="55000000"/>
    <n v="0"/>
    <n v="0"/>
    <n v="0"/>
  </r>
  <r>
    <x v="0"/>
    <x v="9"/>
    <s v="Territorial"/>
    <s v="Si"/>
    <n v="11"/>
    <s v="100-34"/>
    <s v="1 - Incluir el uso de las particularidades propias de cada territorio en la planeación minero energética."/>
    <x v="0"/>
    <x v="35"/>
    <n v="80111620"/>
    <x v="2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950000"/>
    <n v="37950000"/>
    <s v="No"/>
    <s v="N/A"/>
    <s v="Ingrid Viviana Garzón"/>
    <s v="Asesora Dirección general"/>
    <n v="6012220601"/>
    <s v="ingrid.garzon@upme.gov.co"/>
    <m/>
    <m/>
    <n v="37950000"/>
    <m/>
    <m/>
    <n v="2990000"/>
    <n v="-460000"/>
    <n v="3450000"/>
    <m/>
    <n v="3450000"/>
    <m/>
    <n v="3450000"/>
    <m/>
    <n v="3450000"/>
    <m/>
    <n v="3450000"/>
    <m/>
    <n v="3450000"/>
    <m/>
    <n v="3450000"/>
    <m/>
    <n v="3450000"/>
    <m/>
    <n v="6900000"/>
    <n v="460000"/>
    <n v="460000"/>
    <n v="37950000"/>
    <n v="37950000"/>
    <n v="0"/>
    <n v="0"/>
    <n v="0"/>
  </r>
  <r>
    <x v="0"/>
    <x v="9"/>
    <s v="Territorial"/>
    <s v="Si"/>
    <s v="75 (30/12/2024)"/>
    <s v="100-35"/>
    <s v="1 - Incluir el uso de las particularidades propias de cada territorio en la planeación minero energética."/>
    <x v="0"/>
    <x v="35"/>
    <n v="80111620"/>
    <x v="2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m/>
    <m/>
    <n v="56749000"/>
    <n v="56749000"/>
    <n v="0"/>
    <n v="0"/>
    <n v="0"/>
  </r>
  <r>
    <x v="0"/>
    <x v="9"/>
    <s v="Territorial"/>
    <s v="Si"/>
    <n v="11"/>
    <s v="100-36"/>
    <s v="1 - Incluir el uso de las particularidades propias de cada territorio en la planeación minero energética."/>
    <x v="0"/>
    <x v="35"/>
    <n v="80111620"/>
    <x v="2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9500000"/>
    <n v="49500000"/>
    <s v="No"/>
    <s v="N/A"/>
    <s v="Ingrid Viviana Garzón"/>
    <s v="Asesora Dirección general"/>
    <n v="6012220601"/>
    <s v="ingrid.garzon@upme.gov.co"/>
    <m/>
    <m/>
    <n v="49500000"/>
    <m/>
    <m/>
    <n v="3900000"/>
    <n v="-600000"/>
    <n v="4500000"/>
    <m/>
    <n v="4500000"/>
    <m/>
    <n v="4500000"/>
    <m/>
    <n v="4500000"/>
    <m/>
    <n v="4500000"/>
    <m/>
    <n v="4500000"/>
    <m/>
    <n v="4500000"/>
    <m/>
    <n v="4500000"/>
    <m/>
    <n v="9000000"/>
    <n v="600000"/>
    <n v="600000"/>
    <n v="49500000"/>
    <n v="49500000"/>
    <n v="0"/>
    <n v="0"/>
    <n v="0"/>
  </r>
  <r>
    <x v="0"/>
    <x v="9"/>
    <s v="Territorial"/>
    <s v="Si"/>
    <s v="75 (30/12/2024)"/>
    <s v="100-37"/>
    <s v="1 - Incluir el uso de las particularidades propias de cada territorio en la planeación minero energética."/>
    <x v="0"/>
    <x v="35"/>
    <n v="80111620"/>
    <x v="2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00000"/>
    <n v="62000000"/>
    <s v="No"/>
    <s v="N/A"/>
    <s v="Ingrid Viviana Garzón"/>
    <s v="Asesora Dirección general"/>
    <n v="6012220601"/>
    <s v="ingrid.garzon@upme.gov.co"/>
    <m/>
    <m/>
    <n v="62000000"/>
    <m/>
    <m/>
    <n v="4960000"/>
    <m/>
    <n v="6200000"/>
    <m/>
    <n v="6200000"/>
    <m/>
    <n v="6200000"/>
    <m/>
    <n v="6200000"/>
    <m/>
    <n v="6200000"/>
    <m/>
    <n v="6200000"/>
    <m/>
    <n v="6200000"/>
    <m/>
    <n v="6200000"/>
    <m/>
    <n v="7440000"/>
    <m/>
    <m/>
    <n v="62000000"/>
    <n v="62000000"/>
    <n v="0"/>
    <n v="0"/>
    <n v="0"/>
  </r>
  <r>
    <x v="0"/>
    <x v="9"/>
    <s v="Territorial"/>
    <s v="Si"/>
    <s v="75 (30/12/2024)"/>
    <s v="100-38"/>
    <s v="1 - Incluir el uso de las particularidades propias de cada territorio en la planeación minero energética."/>
    <x v="0"/>
    <x v="35"/>
    <n v="80111620"/>
    <x v="2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m/>
    <n v="7500000"/>
    <m/>
    <n v="7500000"/>
    <m/>
    <n v="7500000"/>
    <m/>
    <n v="13250000"/>
    <m/>
    <m/>
    <n v="86250000"/>
    <n v="86250000"/>
    <n v="0"/>
    <n v="0"/>
    <n v="0"/>
  </r>
  <r>
    <x v="0"/>
    <x v="9"/>
    <s v="Territorial"/>
    <s v="Si"/>
    <n v="2"/>
    <s v="100-39"/>
    <s v="1 - Incluir el uso de las particularidades propias de cada territorio en la planeación minero energética."/>
    <x v="0"/>
    <x v="35"/>
    <n v="80111620"/>
    <x v="2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2500000"/>
    <n v="82500000"/>
    <s v="No"/>
    <s v="N/A"/>
    <s v="Ingrid Viviana Garzón"/>
    <s v="Asesora Dirección general"/>
    <n v="6012220601"/>
    <s v="ingrid.garzon@upme.gov.co"/>
    <m/>
    <m/>
    <n v="81250000"/>
    <m/>
    <m/>
    <n v="1500000"/>
    <n v="-1000000"/>
    <n v="7500000"/>
    <m/>
    <n v="7500000"/>
    <m/>
    <n v="8045675"/>
    <m/>
    <n v="8716575"/>
    <m/>
    <n v="7500000"/>
    <m/>
    <n v="7500000"/>
    <m/>
    <n v="7500000"/>
    <m/>
    <n v="7500000"/>
    <m/>
    <n v="15000000"/>
    <n v="2250000"/>
    <n v="4237750"/>
    <n v="82500000"/>
    <n v="82500000"/>
    <n v="0"/>
    <n v="0"/>
    <n v="0"/>
  </r>
  <r>
    <x v="0"/>
    <x v="9"/>
    <s v="Territorial"/>
    <s v="Si"/>
    <n v="46"/>
    <s v="100-40"/>
    <s v="1 - Incluir el uso de las particularidades propias de cada territorio en la planeación minero energética."/>
    <x v="0"/>
    <x v="35"/>
    <n v="80111620"/>
    <x v="2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m/>
    <m/>
    <n v="65800000"/>
    <n v="65800000"/>
    <n v="0"/>
    <n v="0"/>
    <n v="0"/>
  </r>
  <r>
    <x v="0"/>
    <x v="9"/>
    <s v="Territorial"/>
    <s v="Si"/>
    <n v="11"/>
    <s v="100-41"/>
    <s v="1 - Incluir el uso de las particularidades propias de cada territorio en la planeación minero energética."/>
    <x v="0"/>
    <x v="35"/>
    <n v="80111620"/>
    <x v="2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4862700"/>
    <n v="14862700"/>
    <s v="No"/>
    <s v="N/A"/>
    <s v="Ingrid Viviana Garzón"/>
    <s v="Asesora Dirección general"/>
    <n v="6012220601"/>
    <s v="ingrid.garzon@upme.gov.co"/>
    <m/>
    <m/>
    <n v="13862700"/>
    <m/>
    <m/>
    <n v="588115"/>
    <m/>
    <n v="1260247"/>
    <m/>
    <n v="1260247"/>
    <m/>
    <n v="1344261"/>
    <m/>
    <n v="1344261"/>
    <m/>
    <n v="824351"/>
    <m/>
    <n v="6675757"/>
    <m/>
    <n v="565461"/>
    <m/>
    <m/>
    <m/>
    <m/>
    <n v="1000000"/>
    <n v="1000000"/>
    <n v="14862700"/>
    <n v="14862700"/>
    <n v="0"/>
    <n v="0"/>
    <n v="0"/>
  </r>
  <r>
    <x v="0"/>
    <x v="9"/>
    <s v="Territorial"/>
    <s v="Si"/>
    <n v="46"/>
    <s v="100-42"/>
    <s v="1 - Incluir el uso de las particularidades propias de cada territorio en la planeación minero energética."/>
    <x v="0"/>
    <x v="35"/>
    <n v="80111620"/>
    <x v="2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3296667"/>
    <n v="83296667"/>
    <s v="No"/>
    <s v="N/A"/>
    <s v="Ingrid Viviana Garzón"/>
    <s v="Asesora Dirección general"/>
    <n v="6012220601"/>
    <s v="ingrid.garzon@upme.gov.co"/>
    <m/>
    <m/>
    <m/>
    <m/>
    <n v="83850000"/>
    <m/>
    <m/>
    <n v="3596667"/>
    <n v="-553333"/>
    <n v="9203395"/>
    <m/>
    <n v="9203395"/>
    <m/>
    <n v="8300000"/>
    <m/>
    <n v="8300000"/>
    <m/>
    <n v="8300000"/>
    <m/>
    <n v="8300000"/>
    <m/>
    <n v="8300000"/>
    <m/>
    <n v="19793210"/>
    <m/>
    <m/>
    <n v="83296667"/>
    <n v="83296667"/>
    <n v="0"/>
    <n v="0"/>
    <n v="0"/>
  </r>
  <r>
    <x v="0"/>
    <x v="9"/>
    <s v="Territorial"/>
    <s v="Si"/>
    <n v="5"/>
    <s v="100-43"/>
    <s v="1 - Incluir el uso de las particularidades propias de cada territorio en la planeación minero energética."/>
    <x v="0"/>
    <x v="35"/>
    <n v="80111620"/>
    <x v="2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m/>
    <m/>
    <n v="47250000"/>
    <n v="47250000"/>
    <n v="0"/>
    <n v="0"/>
    <n v="0"/>
  </r>
  <r>
    <x v="0"/>
    <x v="9"/>
    <s v="Territorial"/>
    <s v="Si"/>
    <s v="75 (30/12/2024)"/>
    <s v="100-44"/>
    <s v="2 - Fortalecer el conocimiento de la población y el territorio en cuanto a la dinámica de la planeación minero energética."/>
    <x v="25"/>
    <x v="36"/>
    <n v="80111620"/>
    <x v="23"/>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m/>
    <m/>
    <n v="48997300"/>
    <n v="48997300"/>
    <n v="0"/>
    <n v="0"/>
    <n v="0"/>
  </r>
  <r>
    <x v="0"/>
    <x v="9"/>
    <s v="Territorial"/>
    <s v="Si"/>
    <n v="25"/>
    <s v="100-45"/>
    <s v="2 - Fortalecer el conocimiento de la población y el territorio en cuanto a la dinámica de la planeación minero energética. "/>
    <x v="25"/>
    <x v="36"/>
    <s v="c"/>
    <x v="23"/>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n v="56000000"/>
    <m/>
    <n v="56000000"/>
    <m/>
    <n v="56335071"/>
    <m/>
    <m/>
    <n v="168335071"/>
    <n v="168335071"/>
    <n v="0"/>
    <n v="0"/>
    <n v="0"/>
  </r>
  <r>
    <x v="0"/>
    <x v="9"/>
    <s v="Territorial"/>
    <s v="Si"/>
    <n v="2"/>
    <s v="100-46"/>
    <s v="2 - Fortalecer el conocimiento de la población y el territorio en cuanto a la dinámica de la planeación minero energética."/>
    <x v="25"/>
    <x v="36"/>
    <n v="80111620"/>
    <x v="23"/>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70500000"/>
    <n v="70500000"/>
    <s v="No"/>
    <s v="N/A"/>
    <s v="Ingrid Viviana Garzón"/>
    <s v="Asesora Dirección general"/>
    <n v="6012220601"/>
    <s v="ingrid.garzon@upme.gov.co"/>
    <m/>
    <m/>
    <n v="70500000"/>
    <m/>
    <m/>
    <n v="6026125"/>
    <n v="-800000"/>
    <n v="6000000"/>
    <m/>
    <n v="6000000"/>
    <m/>
    <n v="6000000"/>
    <m/>
    <n v="7471800"/>
    <m/>
    <n v="6000000"/>
    <m/>
    <n v="6000000"/>
    <m/>
    <n v="7000000"/>
    <m/>
    <n v="6000000"/>
    <m/>
    <n v="13202075"/>
    <n v="800000"/>
    <n v="800000"/>
    <n v="70500000"/>
    <n v="70500000"/>
    <n v="0"/>
    <n v="0"/>
    <n v="0"/>
  </r>
  <r>
    <x v="0"/>
    <x v="9"/>
    <s v="Territorial"/>
    <s v="Si"/>
    <n v="46"/>
    <s v="100-47"/>
    <s v="2 - Fortalecer el conocimiento de la población y el territorio en cuanto a la dinámica de la planeación minero energética."/>
    <x v="25"/>
    <x v="34"/>
    <n v="80111620"/>
    <x v="23"/>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000000"/>
    <m/>
    <n v="13722800"/>
    <m/>
    <m/>
    <n v="63000000"/>
    <n v="63000000"/>
    <n v="0"/>
    <n v="0"/>
    <n v="0"/>
  </r>
  <r>
    <x v="0"/>
    <x v="9"/>
    <s v="Territorial"/>
    <s v="Si"/>
    <n v="25"/>
    <s v="100-48"/>
    <s v="2 - Fortalecer el conocimiento de la población y el territorio en cuanto a la dinámica de la planeación minero energética."/>
    <x v="25"/>
    <x v="34"/>
    <s v="N/A"/>
    <x v="23"/>
    <s v="Viáticos y gastos de viaje"/>
    <s v="100-48 Pago de viáticos y gastos de desplazamiento para la implementación y evaluación de la estrategia de comunicación y participación de la UPME."/>
    <s v="Febrero"/>
    <s v="Febrero"/>
    <s v="Febrero"/>
    <n v="12"/>
    <s v="Meses"/>
    <s v="N/A"/>
    <s v="Propios - 20 - Ingresos corrientes"/>
    <n v="96318378"/>
    <n v="96318378"/>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7000000"/>
    <n v="7000000"/>
    <n v="10000000"/>
    <n v="10000000"/>
    <n v="10972341"/>
    <n v="16035168"/>
    <n v="40000000"/>
    <n v="40000000"/>
    <n v="96318378"/>
    <n v="96318378"/>
    <n v="0"/>
    <n v="0"/>
    <n v="0"/>
  </r>
  <r>
    <x v="0"/>
    <x v="9"/>
    <s v="Territorial"/>
    <s v="Si"/>
    <n v="46"/>
    <s v="100-49"/>
    <s v="2 - Fortalecer el conocimiento de la población y el territorio en cuanto a la dinámica de la planeación minero energética."/>
    <x v="25"/>
    <x v="34"/>
    <n v="80111620"/>
    <x v="23"/>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n v="1998990"/>
    <m/>
    <m/>
    <m/>
    <m/>
    <m/>
    <m/>
    <n v="33094390"/>
    <n v="33094390"/>
    <n v="0"/>
    <n v="0"/>
    <n v="0"/>
  </r>
  <r>
    <x v="0"/>
    <x v="9"/>
    <s v="Territorial"/>
    <s v="Si"/>
    <n v="5"/>
    <s v="100-50"/>
    <s v="2 - Fortalecer el conocimiento de la población y el territorio en cuanto a la dinámica de la planeación minero energética."/>
    <x v="25"/>
    <x v="34"/>
    <n v="80111620"/>
    <x v="23"/>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8466667"/>
    <n v="68466667"/>
    <s v="No"/>
    <s v="N/A"/>
    <s v="Ingrid Viviana Garzón"/>
    <s v="Asesora Dirección general"/>
    <n v="6012220601"/>
    <s v="ingrid.garzon@upme.gov.co"/>
    <m/>
    <m/>
    <n v="68466667"/>
    <m/>
    <m/>
    <n v="3600000"/>
    <m/>
    <n v="6000000"/>
    <m/>
    <n v="6495675"/>
    <m/>
    <n v="6000000"/>
    <m/>
    <n v="6000000"/>
    <m/>
    <n v="6000000"/>
    <m/>
    <n v="6000000"/>
    <m/>
    <n v="6000000"/>
    <m/>
    <n v="6000000"/>
    <m/>
    <n v="12000000"/>
    <m/>
    <n v="4370992"/>
    <n v="68466667"/>
    <n v="68466667"/>
    <n v="0"/>
    <n v="0"/>
    <n v="0"/>
  </r>
  <r>
    <x v="0"/>
    <x v="9"/>
    <s v="Territorial"/>
    <s v="Si"/>
    <n v="8"/>
    <s v="100-51"/>
    <s v="2 - Fortalecer el conocimiento de la población y el territorio en cuanto a la dinámica de la planeación minero energética."/>
    <x v="25"/>
    <x v="34"/>
    <n v="80111620"/>
    <x v="23"/>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m/>
    <m/>
    <n v="4659681"/>
    <m/>
    <m/>
    <m/>
    <m/>
    <n v="20664606"/>
    <n v="20664606"/>
    <n v="0"/>
    <n v="0"/>
    <n v="0"/>
  </r>
  <r>
    <x v="0"/>
    <x v="9"/>
    <s v="Territorial"/>
    <s v="Si"/>
    <s v="75 (30/12/2024)"/>
    <s v="100-52"/>
    <s v="2 - Fortalecer el conocimiento de la población y el territorio en cuanto a la dinámica de la planeación minero energética."/>
    <x v="25"/>
    <x v="34"/>
    <n v="80111620"/>
    <x v="23"/>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24000000"/>
    <m/>
    <n v="7955488"/>
    <n v="150000000"/>
    <n v="150000000"/>
    <n v="0"/>
    <n v="0"/>
    <n v="0"/>
  </r>
  <r>
    <x v="0"/>
    <x v="9"/>
    <s v="Territorial"/>
    <s v="Si"/>
    <s v="75 (30/12/2024)"/>
    <s v="100-53"/>
    <s v="2 - Fortalecer el conocimiento de la población y el territorio en cuanto a la dinámica de la planeación minero energética."/>
    <x v="25"/>
    <x v="34"/>
    <n v="80111620"/>
    <x v="23"/>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6000000"/>
    <n v="26000000"/>
    <s v="No"/>
    <s v="N/A"/>
    <s v="Ingrid Viviana Garzón"/>
    <s v="Asesora Dirección general"/>
    <n v="6012220601"/>
    <s v="ingrid.garzon@upme.gov.co"/>
    <n v="26000000"/>
    <m/>
    <n v="-1066667"/>
    <m/>
    <m/>
    <m/>
    <m/>
    <m/>
    <m/>
    <m/>
    <m/>
    <m/>
    <m/>
    <m/>
    <m/>
    <m/>
    <m/>
    <m/>
    <m/>
    <n v="933333"/>
    <m/>
    <n v="8000000"/>
    <m/>
    <n v="16000000"/>
    <n v="1066667"/>
    <n v="1066667"/>
    <n v="26000000"/>
    <n v="26000000"/>
    <n v="0"/>
    <n v="0"/>
    <n v="0"/>
  </r>
  <r>
    <x v="0"/>
    <x v="9"/>
    <s v="Territorial"/>
    <s v="Si"/>
    <n v="46"/>
    <s v="100-54"/>
    <s v="2 - Fortalecer el conocimiento de la población y el territorio en cuanto a la dinámica de la planeación minero energética."/>
    <x v="25"/>
    <x v="34"/>
    <n v="80111620"/>
    <x v="23"/>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141800"/>
    <n v="13141800"/>
    <s v="No"/>
    <s v="N/A"/>
    <s v="Ingrid Viviana Garzón"/>
    <s v="Asesora Dirección general"/>
    <n v="6012220601"/>
    <s v="ingrid.garzon@upme.gov.co"/>
    <m/>
    <m/>
    <m/>
    <m/>
    <m/>
    <m/>
    <m/>
    <m/>
    <m/>
    <m/>
    <m/>
    <m/>
    <m/>
    <m/>
    <m/>
    <m/>
    <n v="13141800"/>
    <m/>
    <m/>
    <n v="3285450"/>
    <m/>
    <n v="3285450"/>
    <m/>
    <n v="6570900"/>
    <m/>
    <m/>
    <n v="13141800"/>
    <n v="13141800"/>
    <n v="0"/>
    <n v="0"/>
    <n v="0"/>
  </r>
  <r>
    <x v="0"/>
    <x v="9"/>
    <s v="Territorial"/>
    <s v="Si"/>
    <n v="33"/>
    <s v="100-55"/>
    <s v="2 - Fortalecer el conocimiento de la población y el territorio en cuanto a la dinámica de la planeación minero energética."/>
    <x v="25"/>
    <x v="34"/>
    <n v="82111801"/>
    <x v="23"/>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m/>
    <m/>
    <n v="0"/>
    <n v="0"/>
    <n v="0"/>
    <n v="0"/>
    <n v="0"/>
  </r>
  <r>
    <x v="0"/>
    <x v="9"/>
    <s v="Territorial"/>
    <s v="Si"/>
    <n v="46"/>
    <s v="100-56"/>
    <s v="2 - Fortalecer el conocimiento de la población y el territorio en cuanto a la dinámica de la planeación minero energética."/>
    <x v="25"/>
    <x v="34"/>
    <n v="80111620"/>
    <x v="23"/>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544534"/>
    <m/>
    <m/>
    <m/>
    <m/>
    <n v="36212734"/>
    <n v="36212734"/>
    <n v="0"/>
    <n v="0"/>
    <n v="0"/>
  </r>
  <r>
    <x v="0"/>
    <x v="9"/>
    <s v="Territorial"/>
    <s v="Si"/>
    <n v="8"/>
    <s v="100-57"/>
    <s v="2 - Fortalecer el conocimiento de la población y el territorio en cuanto a la dinámica de la planeación minero energética."/>
    <x v="25"/>
    <x v="34"/>
    <n v="80111620"/>
    <x v="23"/>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7571800"/>
    <n v="77571800"/>
    <s v="No"/>
    <s v="N/A"/>
    <s v="Ingrid Viviana Garzón"/>
    <s v="Asesora Dirección general"/>
    <n v="6012220601"/>
    <s v="ingrid.garzon@upme.gov.co"/>
    <m/>
    <m/>
    <m/>
    <m/>
    <n v="77571800"/>
    <m/>
    <m/>
    <n v="4250000"/>
    <n v="-3250000"/>
    <n v="7500000"/>
    <m/>
    <n v="7500000"/>
    <m/>
    <n v="7500000"/>
    <m/>
    <n v="7500000"/>
    <m/>
    <n v="7500000"/>
    <m/>
    <n v="7500000"/>
    <m/>
    <n v="7500000"/>
    <m/>
    <n v="15000000"/>
    <n v="3250000"/>
    <n v="5821800"/>
    <n v="77571800"/>
    <n v="77571800"/>
    <n v="0"/>
    <n v="0"/>
    <n v="0"/>
  </r>
  <r>
    <x v="0"/>
    <x v="9"/>
    <s v="Territorial"/>
    <s v="Si"/>
    <n v="8"/>
    <s v="100-58"/>
    <s v="2 - Fortalecer el conocimiento de la población y el territorio en cuanto a la dinámica de la planeación minero energética"/>
    <x v="25"/>
    <x v="34"/>
    <n v="80111620"/>
    <x v="23"/>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97000"/>
    <m/>
    <n v="8897000"/>
    <m/>
    <n v="8897000"/>
    <m/>
    <n v="17794000"/>
    <m/>
    <n v="2965667"/>
    <n v="88970000"/>
    <n v="88970000"/>
    <n v="0"/>
    <n v="0"/>
    <n v="0"/>
  </r>
  <r>
    <x v="0"/>
    <x v="9"/>
    <s v="Territorial"/>
    <s v="Si"/>
    <n v="33"/>
    <s v="100-59"/>
    <s v="2 - Fortalecer el conocimiento de la población y el territorio en cuanto a la dinámica de la planeación minero energética"/>
    <x v="25"/>
    <x v="34"/>
    <n v="80111620"/>
    <x v="23"/>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9113974"/>
    <n v="19113974"/>
    <s v="No"/>
    <s v="N/A"/>
    <s v="Ingrid Viviana Garzón"/>
    <s v="Asesora Dirección general"/>
    <n v="6012220601"/>
    <s v="ingrid.garzon@upme.gov.co"/>
    <m/>
    <m/>
    <m/>
    <m/>
    <m/>
    <m/>
    <m/>
    <m/>
    <m/>
    <m/>
    <m/>
    <m/>
    <m/>
    <m/>
    <m/>
    <m/>
    <m/>
    <m/>
    <n v="17333333"/>
    <m/>
    <m/>
    <n v="4333333"/>
    <m/>
    <n v="13000000"/>
    <n v="1780641"/>
    <n v="1780641"/>
    <n v="19113974"/>
    <n v="19113974"/>
    <n v="0"/>
    <n v="0"/>
    <n v="0"/>
  </r>
  <r>
    <x v="0"/>
    <x v="9"/>
    <s v="Territorial"/>
    <s v="Si"/>
    <n v="16"/>
    <s v="100-60"/>
    <s v="2 - Fortalecer el conocimiento de la población y el territorio en cuanto a la dinámica de la planeación minero energética"/>
    <x v="25"/>
    <x v="34"/>
    <n v="43233501"/>
    <x v="23"/>
    <s v="Software-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n v="24959146"/>
    <m/>
    <m/>
    <m/>
    <m/>
    <n v="24959146"/>
    <n v="24959146"/>
    <n v="0"/>
    <n v="0"/>
    <n v="0"/>
  </r>
  <r>
    <x v="0"/>
    <x v="9"/>
    <s v="Territorial"/>
    <s v="Si"/>
    <n v="32"/>
    <s v="100-61"/>
    <s v="1 - Incluir el uso de las particularidades propias de cada territorio en la planeación minero energética."/>
    <x v="0"/>
    <x v="33"/>
    <n v="80111620"/>
    <x v="2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m/>
    <m/>
    <n v="25466000"/>
    <m/>
    <m/>
    <m/>
    <m/>
    <n v="25466000"/>
    <m/>
    <m/>
    <n v="25466000"/>
    <n v="25466000"/>
    <n v="0"/>
    <n v="0"/>
    <n v="0"/>
  </r>
  <r>
    <x v="0"/>
    <x v="9"/>
    <s v="Territorial"/>
    <s v="Si"/>
    <n v="31"/>
    <s v="100-62"/>
    <s v="1 - Incluir el uso de las particularidades propias de cada territorio en la planeación minero energética."/>
    <x v="0"/>
    <x v="33"/>
    <n v="80111620"/>
    <x v="2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9130000"/>
    <m/>
    <n v="9130000"/>
    <m/>
    <n v="14110000"/>
    <m/>
    <m/>
    <n v="41500000"/>
    <n v="41500000"/>
    <n v="0"/>
    <n v="0"/>
    <n v="0"/>
  </r>
  <r>
    <x v="0"/>
    <x v="9"/>
    <s v="Territorial"/>
    <s v="Si"/>
    <n v="38"/>
    <s v="100-63"/>
    <s v="2 - Fortalecer el conocimiento de la población y el territorio en cuanto a la dinámica de la planeación minero energética"/>
    <x v="25"/>
    <x v="34"/>
    <n v="80111620"/>
    <x v="23"/>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60053700"/>
    <n v="60053700"/>
    <s v="No"/>
    <s v="N/A"/>
    <s v="Mateo Severino Rodriguez"/>
    <m/>
    <n v="6012220601"/>
    <s v="mateo.severino@upme.gov.co"/>
    <m/>
    <m/>
    <m/>
    <m/>
    <m/>
    <m/>
    <m/>
    <m/>
    <m/>
    <m/>
    <m/>
    <m/>
    <m/>
    <m/>
    <n v="60053700"/>
    <m/>
    <m/>
    <n v="2267825"/>
    <m/>
    <n v="13606950"/>
    <m/>
    <n v="13606950"/>
    <m/>
    <n v="27213900"/>
    <m/>
    <n v="3358075"/>
    <n v="60053700"/>
    <n v="60053700"/>
    <n v="0"/>
    <n v="0"/>
    <n v="0"/>
  </r>
  <r>
    <x v="0"/>
    <x v="9"/>
    <s v="Territorial"/>
    <s v="Si"/>
    <n v="42"/>
    <s v="100-64"/>
    <s v="1 - Incluir el uso de las particularidades propias de cada territorio en la planeación minero energética."/>
    <x v="0"/>
    <x v="33"/>
    <n v="80111620"/>
    <x v="2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8000000"/>
    <n v="28000000"/>
    <s v="No"/>
    <s v="N/A"/>
    <s v="Mateo Severino Rodriguez"/>
    <m/>
    <n v="6012220601"/>
    <s v="mateo.severino@upme.gov.co"/>
    <m/>
    <m/>
    <m/>
    <m/>
    <m/>
    <m/>
    <m/>
    <m/>
    <m/>
    <m/>
    <m/>
    <m/>
    <m/>
    <m/>
    <m/>
    <m/>
    <m/>
    <m/>
    <n v="28000000"/>
    <m/>
    <m/>
    <n v="9333333"/>
    <m/>
    <n v="18666667"/>
    <m/>
    <m/>
    <n v="28000000"/>
    <n v="28000000"/>
    <n v="0"/>
    <n v="0"/>
    <n v="0"/>
  </r>
  <r>
    <x v="0"/>
    <x v="9"/>
    <s v="Territorial"/>
    <s v="Si"/>
    <n v="46"/>
    <s v="100-65"/>
    <s v="1 - Incluir el uso de las particularidades propias de cada territorio en la planeación minero energética."/>
    <x v="0"/>
    <x v="35"/>
    <n v="80111620"/>
    <x v="2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m/>
    <m/>
    <n v="15416667"/>
    <n v="15416667"/>
    <n v="0"/>
    <n v="0"/>
    <n v="0"/>
  </r>
  <r>
    <x v="0"/>
    <x v="9"/>
    <s v="Territorial"/>
    <s v="Si"/>
    <n v="46"/>
    <s v="100-66"/>
    <s v="1 - Incluir el uso de las particularidades propias de cada territorio en la planeación minero energética."/>
    <x v="0"/>
    <x v="35"/>
    <n v="80111620"/>
    <x v="2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m/>
    <m/>
    <n v="5087886"/>
    <n v="5087886"/>
    <n v="0"/>
    <n v="0"/>
    <n v="0"/>
  </r>
  <r>
    <x v="0"/>
    <x v="9"/>
    <s v="Territorial"/>
    <s v="Si"/>
    <n v="46"/>
    <s v="100-67"/>
    <s v="1 - Incluir el uso de las particularidades propias de cada territorio en la planeación minero energética."/>
    <x v="0"/>
    <x v="35"/>
    <n v="80111620"/>
    <x v="2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176666"/>
    <n v="4176666"/>
    <s v="No"/>
    <s v="N/A"/>
    <s v="Sandra Caballero"/>
    <s v="Asesora Dirección general"/>
    <n v="6012220601"/>
    <s v="sandra.caballero@upme.gov.co"/>
    <m/>
    <m/>
    <m/>
    <m/>
    <m/>
    <m/>
    <m/>
    <m/>
    <m/>
    <m/>
    <m/>
    <m/>
    <m/>
    <m/>
    <m/>
    <m/>
    <m/>
    <m/>
    <n v="4176666"/>
    <m/>
    <m/>
    <m/>
    <m/>
    <n v="4176666"/>
    <m/>
    <m/>
    <n v="4176666"/>
    <n v="4176666"/>
    <n v="0"/>
    <n v="0"/>
    <n v="0"/>
  </r>
  <r>
    <x v="0"/>
    <x v="9"/>
    <s v="Territorial"/>
    <s v="Si"/>
    <n v="46"/>
    <s v="100-68"/>
    <s v="2 - Fortalecer el conocimiento de la población y el territorio en cuanto a la dinámica de la planeación minero energética"/>
    <x v="25"/>
    <x v="34"/>
    <n v="80111620"/>
    <x v="23"/>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m/>
    <m/>
    <n v="5943311"/>
    <n v="5943311"/>
    <n v="0"/>
    <n v="0"/>
    <n v="0"/>
  </r>
  <r>
    <x v="0"/>
    <x v="9"/>
    <s v="Territorial"/>
    <s v="Si"/>
    <n v="46"/>
    <s v="100-69"/>
    <s v="2 - Fortalecer el conocimiento de la población y el territorio en cuanto a la dinámica de la planeación minero energética"/>
    <x v="25"/>
    <x v="34"/>
    <n v="80111620"/>
    <x v="23"/>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19567618"/>
    <n v="19567618"/>
    <s v="No"/>
    <s v="N/A"/>
    <s v="Sandra Caballero"/>
    <s v="Asesora Dirección general"/>
    <n v="6012220601"/>
    <s v="sandra.caballero@upme.gov.co"/>
    <m/>
    <m/>
    <m/>
    <m/>
    <m/>
    <m/>
    <m/>
    <m/>
    <m/>
    <m/>
    <m/>
    <m/>
    <m/>
    <m/>
    <m/>
    <m/>
    <m/>
    <m/>
    <n v="17333333"/>
    <m/>
    <m/>
    <n v="4333333"/>
    <m/>
    <n v="13000000"/>
    <n v="2234285"/>
    <n v="2234285"/>
    <n v="19567618"/>
    <n v="19567618"/>
    <n v="0"/>
    <n v="0"/>
    <n v="0"/>
  </r>
  <r>
    <x v="0"/>
    <x v="9"/>
    <s v="Territorial"/>
    <s v="Si"/>
    <n v="46"/>
    <s v="100-70"/>
    <s v="1 - Incluir el uso de las particularidades propias de cada territorio en la planeación minero energética."/>
    <x v="0"/>
    <x v="33"/>
    <n v="80111620"/>
    <x v="2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10800000"/>
    <n v="10800000"/>
    <s v="No"/>
    <s v="N/A"/>
    <s v="Sandra Caballero"/>
    <s v="Asesora Dirección general"/>
    <n v="6012220601"/>
    <s v="sandra.caballero@upme.gov.co"/>
    <m/>
    <m/>
    <m/>
    <m/>
    <m/>
    <m/>
    <m/>
    <m/>
    <m/>
    <m/>
    <m/>
    <m/>
    <m/>
    <m/>
    <m/>
    <m/>
    <m/>
    <m/>
    <n v="10800000"/>
    <m/>
    <m/>
    <n v="3600000"/>
    <m/>
    <n v="7200000"/>
    <m/>
    <m/>
    <n v="10800000"/>
    <n v="10800000"/>
    <n v="0"/>
    <n v="0"/>
    <n v="0"/>
  </r>
  <r>
    <x v="0"/>
    <x v="9"/>
    <s v="Territorial"/>
    <s v="Si"/>
    <n v="46"/>
    <s v="100-71"/>
    <s v="1 - Incluir el uso de las particularidades propias de cada territorio en la planeación minero energética."/>
    <x v="0"/>
    <x v="33"/>
    <n v="80141607"/>
    <x v="22"/>
    <s v="Operador logístico"/>
    <s v="100-71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1"/>
    <s v="Meses"/>
    <s v="Contratación directa "/>
    <s v="Propios - 20 - Ingresos corrientes"/>
    <n v="22569838"/>
    <n v="22569838"/>
    <s v="No"/>
    <s v="N/A"/>
    <s v="Sandra Caballero"/>
    <s v="Asesora Dirección general"/>
    <n v="6012220601"/>
    <s v="sandra.caballero@upme.gov.co"/>
    <m/>
    <m/>
    <m/>
    <m/>
    <m/>
    <m/>
    <m/>
    <m/>
    <m/>
    <m/>
    <m/>
    <m/>
    <m/>
    <m/>
    <m/>
    <m/>
    <m/>
    <m/>
    <n v="22569838"/>
    <m/>
    <m/>
    <m/>
    <m/>
    <n v="22569838"/>
    <m/>
    <m/>
    <n v="22569838"/>
    <n v="22569838"/>
    <n v="0"/>
    <n v="0"/>
    <n v="0"/>
  </r>
  <r>
    <x v="0"/>
    <x v="9"/>
    <s v="Territorial"/>
    <s v="Si"/>
    <n v="46"/>
    <s v="100-72"/>
    <s v="1 - Incluir el uso de las particularidades propias de cada territorio en la planeación minero energética."/>
    <x v="0"/>
    <x v="33"/>
    <n v="80111620"/>
    <x v="2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n v="5333333"/>
    <m/>
    <m/>
    <m/>
    <m/>
    <n v="5333333"/>
    <m/>
    <m/>
    <n v="5333333"/>
    <n v="5333333"/>
    <n v="0"/>
    <n v="0"/>
    <n v="0"/>
  </r>
  <r>
    <x v="1"/>
    <x v="0"/>
    <s v="N.A"/>
    <s v="Si"/>
    <n v="32"/>
    <s v="111-1"/>
    <s v="N.A"/>
    <x v="26"/>
    <x v="37"/>
    <n v="72151514"/>
    <x v="24"/>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n v="2538666"/>
    <m/>
    <n v="2538666"/>
    <m/>
    <n v="5077336"/>
    <m/>
    <m/>
    <n v="0"/>
    <n v="10154668"/>
    <n v="-10154668"/>
    <n v="15232000"/>
    <n v="5077332"/>
  </r>
  <r>
    <x v="1"/>
    <x v="0"/>
    <s v="N.A"/>
    <s v="Si"/>
    <n v="24"/>
    <s v="111-2"/>
    <s v="N.A"/>
    <x v="26"/>
    <x v="37"/>
    <n v="41111970"/>
    <x v="24"/>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n v="821219"/>
    <m/>
    <m/>
    <m/>
    <n v="821219"/>
    <m/>
    <m/>
    <n v="0"/>
    <n v="1642438"/>
    <n v="-1642438"/>
    <n v="3284876"/>
    <n v="1642438"/>
  </r>
  <r>
    <x v="1"/>
    <x v="0"/>
    <s v="N.A"/>
    <s v="Si"/>
    <s v="75 (30/12/2024)"/>
    <s v="111-3"/>
    <s v="N.A"/>
    <x v="26"/>
    <x v="37"/>
    <n v="72101511"/>
    <x v="24"/>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m/>
    <m/>
    <n v="0"/>
    <n v="1844934"/>
    <n v="-1844934"/>
    <n v="7379736"/>
    <n v="5534802"/>
  </r>
  <r>
    <x v="1"/>
    <x v="0"/>
    <s v="N.A"/>
    <s v="Si"/>
    <s v="75 (30/12/2024)"/>
    <s v="111-4"/>
    <s v="N.A"/>
    <x v="26"/>
    <x v="37"/>
    <n v="72101509"/>
    <x v="24"/>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m/>
    <m/>
    <n v="0"/>
    <n v="7538440"/>
    <n v="-7538440"/>
    <n v="22615320"/>
    <n v="15076880"/>
  </r>
  <r>
    <x v="1"/>
    <x v="0"/>
    <s v="N.A"/>
    <s v="Si"/>
    <s v="75 (30/12/2024)"/>
    <s v="111-5"/>
    <s v="N.A"/>
    <x v="26"/>
    <x v="37"/>
    <n v="78181507"/>
    <x v="24"/>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n v="386250"/>
    <m/>
    <n v="386250"/>
    <m/>
    <n v="386250"/>
    <m/>
    <m/>
    <n v="0"/>
    <n v="1158750"/>
    <n v="-1158750"/>
    <n v="3090000"/>
    <n v="1931250"/>
  </r>
  <r>
    <x v="1"/>
    <x v="0"/>
    <s v="N.A"/>
    <s v="Si"/>
    <n v="30"/>
    <s v="111-6"/>
    <s v="N.A"/>
    <x v="26"/>
    <x v="37"/>
    <n v="78181507"/>
    <x v="24"/>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r>
  <r>
    <x v="1"/>
    <x v="0"/>
    <s v="N.A"/>
    <s v="Si"/>
    <s v="75 (30/12/2024)"/>
    <s v="111-7"/>
    <s v="N.A"/>
    <x v="26"/>
    <x v="37"/>
    <n v="46191601"/>
    <x v="24"/>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m/>
    <m/>
    <n v="0"/>
    <n v="0"/>
    <n v="0"/>
    <n v="3500000"/>
    <n v="3500000"/>
  </r>
  <r>
    <x v="1"/>
    <x v="0"/>
    <s v="N.A"/>
    <s v="Si"/>
    <n v="27"/>
    <s v="111-8"/>
    <s v="N.A"/>
    <x v="26"/>
    <x v="37"/>
    <s v="44103125;81101707"/>
    <x v="24"/>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n v="933300"/>
    <m/>
    <n v="933300"/>
    <m/>
    <n v="1866600"/>
    <m/>
    <m/>
    <n v="0"/>
    <n v="3733200"/>
    <n v="-3733200"/>
    <n v="6533100"/>
    <n v="2799900"/>
  </r>
  <r>
    <x v="1"/>
    <x v="0"/>
    <s v="N.A"/>
    <s v="Si"/>
    <s v="75 (30/12/2024)"/>
    <s v="111-9"/>
    <s v="N.A"/>
    <x v="26"/>
    <x v="37"/>
    <n v="72151704"/>
    <x v="24"/>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m/>
    <m/>
    <n v="0"/>
    <n v="0"/>
    <n v="0"/>
    <n v="4000000"/>
    <n v="4000000"/>
  </r>
  <r>
    <x v="1"/>
    <x v="0"/>
    <s v="N.A"/>
    <s v="Si"/>
    <s v="75 (30/12/2024)"/>
    <s v="111-10"/>
    <s v="N.A"/>
    <x v="26"/>
    <x v="37"/>
    <n v="72102900"/>
    <x v="24"/>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n v="27250000"/>
    <m/>
    <m/>
    <m/>
    <m/>
    <m/>
    <m/>
    <n v="0"/>
    <n v="27250000"/>
    <n v="-27250000"/>
    <n v="54500000"/>
    <n v="27250000"/>
  </r>
  <r>
    <x v="1"/>
    <x v="0"/>
    <s v="N.A"/>
    <s v="Si"/>
    <s v="75 (30/12/2024)"/>
    <s v="111-11"/>
    <s v="N.A"/>
    <x v="26"/>
    <x v="37"/>
    <n v="44103100"/>
    <x v="25"/>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m/>
    <m/>
    <m/>
    <m/>
    <m/>
    <m/>
    <m/>
    <m/>
    <m/>
    <n v="0"/>
    <n v="0"/>
    <n v="0"/>
    <n v="6736200"/>
    <n v="6736200"/>
  </r>
  <r>
    <x v="1"/>
    <x v="0"/>
    <s v="N.A"/>
    <s v="Si"/>
    <s v="75 (30/12/2024)"/>
    <s v="111-12"/>
    <s v="N.A"/>
    <x v="26"/>
    <x v="37"/>
    <n v="80131500"/>
    <x v="26"/>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n v="10487273"/>
    <m/>
    <n v="10487273"/>
    <m/>
    <n v="10487270"/>
    <m/>
    <m/>
    <n v="0"/>
    <n v="31461816"/>
    <n v="-31461816"/>
    <n v="115360000"/>
    <n v="83898184"/>
  </r>
  <r>
    <x v="1"/>
    <x v="0"/>
    <s v="N.A"/>
    <s v="Si"/>
    <n v="32"/>
    <s v="111-13"/>
    <s v="N.A"/>
    <x v="26"/>
    <x v="37"/>
    <s v="78102203;78102206"/>
    <x v="27"/>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n v="2975450"/>
    <m/>
    <n v="2975450"/>
    <m/>
    <n v="5950900"/>
    <m/>
    <m/>
    <n v="0"/>
    <n v="11901800"/>
    <n v="-11901800"/>
    <n v="23803600"/>
    <n v="11901800"/>
  </r>
  <r>
    <x v="1"/>
    <x v="0"/>
    <s v="N.A"/>
    <s v="Si"/>
    <s v="75 (30/12/2024)"/>
    <s v="111-14"/>
    <s v="N.A"/>
    <x v="26"/>
    <x v="37"/>
    <n v="55101519"/>
    <x v="28"/>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n v="2000000"/>
    <m/>
    <n v="2000000"/>
    <m/>
    <n v="2000000"/>
    <m/>
    <m/>
    <n v="0"/>
    <n v="6000000"/>
    <n v="-6000000"/>
    <n v="20000000"/>
    <n v="14000000"/>
  </r>
  <r>
    <x v="1"/>
    <x v="0"/>
    <s v="N.A"/>
    <s v="Si"/>
    <n v="32"/>
    <s v="111-15"/>
    <s v="N.A"/>
    <x v="26"/>
    <x v="37"/>
    <n v="90101604"/>
    <x v="29"/>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n v="2000000"/>
    <m/>
    <n v="2000000"/>
    <m/>
    <n v="2000000"/>
    <m/>
    <m/>
    <n v="0"/>
    <n v="6000000"/>
    <n v="-6000000"/>
    <n v="10000000"/>
    <n v="4000000"/>
  </r>
  <r>
    <x v="1"/>
    <x v="0"/>
    <s v="N.A"/>
    <s v="Si"/>
    <s v="75 (30/12/2024)"/>
    <s v="111-16"/>
    <s v="N.A"/>
    <x v="26"/>
    <x v="37"/>
    <s v="84131607;84131500"/>
    <x v="30"/>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m/>
    <m/>
    <n v="2500000"/>
    <n v="2500000"/>
    <n v="0"/>
    <n v="0"/>
    <n v="0"/>
  </r>
  <r>
    <x v="1"/>
    <x v="0"/>
    <s v="N.A"/>
    <s v="Si"/>
    <s v="75 (30/12/2024)"/>
    <s v="111-17"/>
    <s v="N.A"/>
    <x v="26"/>
    <x v="37"/>
    <s v="84131501;84131607;84131514;84131500;84131603"/>
    <x v="30"/>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m/>
    <m/>
    <n v="0"/>
    <n v="0"/>
    <n v="0"/>
    <n v="300000000"/>
    <n v="300000000"/>
  </r>
  <r>
    <x v="1"/>
    <x v="0"/>
    <s v="N.A"/>
    <s v="Si"/>
    <n v="30"/>
    <s v="111-18"/>
    <s v="N.A"/>
    <x v="26"/>
    <x v="37"/>
    <s v="84131607;84131500"/>
    <x v="30"/>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r>
  <r>
    <x v="1"/>
    <x v="0"/>
    <s v="N.A"/>
    <s v="Si"/>
    <s v="75 (30/12/2024)"/>
    <s v="111-19"/>
    <s v="N.A"/>
    <x v="26"/>
    <x v="37"/>
    <n v="15101506"/>
    <x v="31"/>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n v="1272727"/>
    <m/>
    <n v="1272727"/>
    <m/>
    <n v="1272730"/>
    <m/>
    <m/>
    <n v="0"/>
    <n v="3818184"/>
    <n v="-3818184"/>
    <n v="14000000"/>
    <n v="10181816"/>
  </r>
  <r>
    <x v="1"/>
    <x v="0"/>
    <s v="N.A"/>
    <s v="Si"/>
    <s v="75 (30/12/2024)"/>
    <s v="111-20"/>
    <s v="N.A"/>
    <x v="26"/>
    <x v="37"/>
    <n v="80111707"/>
    <x v="32"/>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m/>
    <m/>
    <n v="0"/>
    <n v="3000000"/>
    <n v="-3000000"/>
    <n v="9000000"/>
    <n v="6000000"/>
  </r>
  <r>
    <x v="1"/>
    <x v="0"/>
    <s v="N.A"/>
    <s v="Si"/>
    <n v="47"/>
    <s v="111-21"/>
    <s v="N.A"/>
    <x v="26"/>
    <x v="37"/>
    <n v="45101515"/>
    <x v="33"/>
    <s v="Adquisición de bienes y/o servicios (otros)"/>
    <s v="111-21 Adquisición de Activos Fijos"/>
    <s v="Abril"/>
    <s v="Abril"/>
    <s v="Abril"/>
    <n v="8"/>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m/>
    <m/>
    <n v="0"/>
    <n v="0"/>
    <n v="0"/>
    <n v="15386700"/>
    <n v="15386700"/>
  </r>
  <r>
    <x v="1"/>
    <x v="0"/>
    <s v="N.A"/>
    <s v="Si"/>
    <n v="19"/>
    <s v="111-22"/>
    <s v="N.A"/>
    <x v="26"/>
    <x v="37"/>
    <n v="81112501"/>
    <x v="3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m/>
    <m/>
    <n v="2842125"/>
    <n v="2842125"/>
    <n v="0"/>
    <n v="0"/>
    <n v="0"/>
  </r>
  <r>
    <x v="1"/>
    <x v="0"/>
    <s v="N.A"/>
    <s v="Si"/>
    <s v="75 (30/12/2024)"/>
    <s v="111-23"/>
    <s v="N.A"/>
    <x v="26"/>
    <x v="37"/>
    <n v="44121600"/>
    <x v="25"/>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m/>
    <m/>
    <n v="0"/>
    <n v="0"/>
    <n v="0"/>
    <n v="12000000"/>
    <n v="12000000"/>
  </r>
  <r>
    <x v="1"/>
    <x v="0"/>
    <s v="N.A"/>
    <s v="Si"/>
    <s v="75 (30/12/2024)"/>
    <s v="111-24"/>
    <s v="N.A"/>
    <x v="26"/>
    <x v="37"/>
    <n v="85101503"/>
    <x v="35"/>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m/>
    <m/>
    <n v="35000000"/>
    <n v="35000000"/>
    <n v="0"/>
    <n v="0"/>
    <n v="0"/>
  </r>
  <r>
    <x v="1"/>
    <x v="0"/>
    <s v="N.A"/>
    <s v="Si"/>
    <s v="75 (30/12/2024)"/>
    <s v="111-25"/>
    <s v="N.A"/>
    <x v="26"/>
    <x v="37"/>
    <n v="85122201"/>
    <x v="35"/>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n v="1600000"/>
    <m/>
    <n v="1600000"/>
    <m/>
    <n v="1007488"/>
    <m/>
    <m/>
    <n v="0"/>
    <n v="4207488"/>
    <n v="-4207488"/>
    <n v="17292512"/>
    <n v="13085024"/>
  </r>
  <r>
    <x v="1"/>
    <x v="0"/>
    <s v="N.A"/>
    <s v="Si"/>
    <n v="12"/>
    <s v="111-26"/>
    <s v="N.A"/>
    <x v="26"/>
    <x v="37"/>
    <n v="93141506"/>
    <x v="3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n v="8550000"/>
    <m/>
    <n v="8550000"/>
    <m/>
    <n v="105200000"/>
    <m/>
    <m/>
    <n v="0"/>
    <n v="122300000"/>
    <n v="-122300000"/>
    <n v="263000000"/>
    <n v="140700000"/>
  </r>
  <r>
    <x v="1"/>
    <x v="0"/>
    <s v="N.A"/>
    <s v="Si"/>
    <s v="75 (30/12/2024)"/>
    <s v="111-27"/>
    <s v="N.A"/>
    <x v="26"/>
    <x v="37"/>
    <n v="42172001"/>
    <x v="37"/>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n v="1463000"/>
    <m/>
    <n v="1463000"/>
    <m/>
    <m/>
    <m/>
    <m/>
    <n v="0"/>
    <n v="2926000"/>
    <n v="-2926000"/>
    <n v="4389000"/>
    <n v="1463000"/>
  </r>
  <r>
    <x v="1"/>
    <x v="0"/>
    <s v="N.A"/>
    <s v="Si"/>
    <n v="18"/>
    <s v="111-28"/>
    <s v="N.A"/>
    <x v="26"/>
    <x v="37"/>
    <n v="80111620"/>
    <x v="38"/>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m/>
    <m/>
    <n v="0"/>
    <n v="0"/>
    <n v="0"/>
    <n v="20180280"/>
    <n v="20180280"/>
  </r>
  <r>
    <x v="1"/>
    <x v="0"/>
    <s v="N.A"/>
    <s v="Si"/>
    <s v="75 (30/12/2024)"/>
    <s v="111-29"/>
    <s v="N.A"/>
    <x v="26"/>
    <x v="37"/>
    <n v="80111620"/>
    <x v="38"/>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5525040"/>
    <n v="85525040"/>
    <s v="No"/>
    <s v="N/A"/>
    <s v="Hollman Corredor"/>
    <s v="Coordinador GIT Gestión Financiera"/>
    <n v="6012220601"/>
    <s v="hollman.corredor@upme.gov.co"/>
    <n v="73668000"/>
    <m/>
    <m/>
    <m/>
    <m/>
    <m/>
    <m/>
    <m/>
    <m/>
    <m/>
    <m/>
    <m/>
    <m/>
    <m/>
    <m/>
    <m/>
    <m/>
    <m/>
    <m/>
    <n v="7436960"/>
    <m/>
    <n v="7436960"/>
    <m/>
    <n v="14873860"/>
    <m/>
    <m/>
    <n v="73668000"/>
    <n v="29747780"/>
    <n v="43920220"/>
    <n v="11857040"/>
    <n v="55777260"/>
  </r>
  <r>
    <x v="1"/>
    <x v="0"/>
    <s v="N.A"/>
    <s v="Si"/>
    <s v="75 (30/12/2024)"/>
    <s v="111-30"/>
    <s v="N.A"/>
    <x v="26"/>
    <x v="37"/>
    <n v="80111620"/>
    <x v="38"/>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n v="8000000"/>
    <m/>
    <n v="8000000"/>
    <m/>
    <n v="16000000"/>
    <m/>
    <m/>
    <n v="0"/>
    <n v="32000000"/>
    <n v="-32000000"/>
    <n v="90933333"/>
    <n v="58933333"/>
  </r>
  <r>
    <x v="1"/>
    <x v="0"/>
    <s v="N.A"/>
    <s v="Si"/>
    <s v="75 (30/12/2024)"/>
    <s v="111-31"/>
    <s v="N.A"/>
    <x v="26"/>
    <x v="37"/>
    <n v="85101508"/>
    <x v="35"/>
    <s v="Adquisición de bienes y/o servicios (otros)"/>
    <s v="111-31 Prestar los servicios profesionales de Servicio de Área Protegida (SAP) para todas las personas que se encuentren en las instalaciones de la Unidad de Planeación Minero Energética en el caso de presentarse una emergencia y/o urgencia como parte del"/>
    <s v="Julio"/>
    <s v="Julio"/>
    <s v="Agosto"/>
    <n v="4"/>
    <s v="Meses"/>
    <s v="Contratación directa - Contratos menor cuantía"/>
    <s v="Propios - 20 - Ingresos corrientes"/>
    <n v="6210000"/>
    <n v="6210000"/>
    <s v="No"/>
    <s v="N/A"/>
    <s v="Liliana Castillo"/>
    <s v="Coordinadora GIT Gestión del Talento Humano"/>
    <n v="6012220601"/>
    <s v="liliana.castillo@upme.gov.co"/>
    <m/>
    <m/>
    <m/>
    <m/>
    <m/>
    <m/>
    <m/>
    <m/>
    <m/>
    <m/>
    <m/>
    <m/>
    <m/>
    <m/>
    <m/>
    <m/>
    <m/>
    <m/>
    <m/>
    <n v="1552500"/>
    <m/>
    <n v="1552500"/>
    <m/>
    <n v="1552500"/>
    <m/>
    <m/>
    <n v="0"/>
    <n v="4657500"/>
    <n v="-4657500"/>
    <n v="6210000"/>
    <n v="1552500"/>
  </r>
  <r>
    <x v="1"/>
    <x v="0"/>
    <s v="N.A"/>
    <s v="Si"/>
    <s v="75 (30/12/2024)"/>
    <s v="111-32"/>
    <s v="N.A"/>
    <x v="26"/>
    <x v="37"/>
    <n v="80111620"/>
    <x v="38"/>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m/>
    <m/>
    <n v="0"/>
    <n v="0"/>
    <n v="0"/>
    <n v="29921047"/>
    <n v="29921047"/>
  </r>
  <r>
    <x v="1"/>
    <x v="0"/>
    <s v="N.A"/>
    <s v="Si"/>
    <n v="18"/>
    <s v="111-33"/>
    <s v="N.A"/>
    <x v="26"/>
    <x v="37"/>
    <n v="80111620"/>
    <x v="38"/>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n v="8017840"/>
    <m/>
    <n v="8017840"/>
    <m/>
    <n v="16035680"/>
    <m/>
    <m/>
    <n v="0"/>
    <n v="32071360"/>
    <n v="-32071360"/>
    <n v="90334331"/>
    <n v="58262971"/>
  </r>
  <r>
    <x v="1"/>
    <x v="0"/>
    <s v="N.A"/>
    <s v="Si"/>
    <n v="18"/>
    <s v="111-34"/>
    <s v="N.A"/>
    <x v="26"/>
    <x v="37"/>
    <n v="72121103"/>
    <x v="39"/>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m/>
    <m/>
    <n v="0"/>
    <n v="0"/>
    <n v="0"/>
    <n v="212000000"/>
    <n v="212000000"/>
  </r>
  <r>
    <x v="1"/>
    <x v="0"/>
    <s v="N.A"/>
    <s v="Si"/>
    <s v="75 (30/12/2024)"/>
    <s v="111-35"/>
    <s v="N.A"/>
    <x v="26"/>
    <x v="37"/>
    <n v="80131500"/>
    <x v="26"/>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n v="7000000"/>
    <m/>
    <n v="7000000"/>
    <m/>
    <n v="7000000"/>
    <m/>
    <m/>
    <n v="0"/>
    <n v="21000000"/>
    <n v="-21000000"/>
    <n v="70000000"/>
    <n v="49000000"/>
  </r>
  <r>
    <x v="1"/>
    <x v="0"/>
    <s v="N.A"/>
    <s v="Si"/>
    <n v="18"/>
    <s v="111-36"/>
    <s v="N.A"/>
    <x v="26"/>
    <x v="37"/>
    <n v="80111620"/>
    <x v="38"/>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n v="9000000"/>
    <m/>
    <n v="9000000"/>
    <m/>
    <n v="18000000"/>
    <m/>
    <m/>
    <n v="0"/>
    <n v="36000000"/>
    <n v="-36000000"/>
    <n v="100200000"/>
    <n v="64200000"/>
  </r>
  <r>
    <x v="1"/>
    <x v="0"/>
    <s v="N.A"/>
    <s v="Si"/>
    <n v="6"/>
    <s v="111-37"/>
    <s v="N.A"/>
    <x v="26"/>
    <x v="37"/>
    <n v="80111620"/>
    <x v="40"/>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m/>
    <m/>
    <n v="0"/>
    <n v="24823939"/>
    <n v="-24823939"/>
    <n v="82743939"/>
    <n v="57920000"/>
  </r>
  <r>
    <x v="1"/>
    <x v="0"/>
    <s v="N.A"/>
    <s v="Si"/>
    <n v="35"/>
    <s v="111-38"/>
    <s v="N.A"/>
    <x v="26"/>
    <x v="37"/>
    <n v="80111620"/>
    <x v="40"/>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m/>
    <m/>
    <n v="0"/>
    <n v="14170000"/>
    <n v="-14170000"/>
    <n v="14170000"/>
    <n v="0"/>
  </r>
  <r>
    <x v="1"/>
    <x v="0"/>
    <s v="N.A"/>
    <s v="Si"/>
    <n v="6"/>
    <s v="111-39"/>
    <s v="N.A"/>
    <x v="26"/>
    <x v="37"/>
    <n v="80111620"/>
    <x v="40"/>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n v="22756913"/>
    <m/>
    <m/>
    <m/>
    <m/>
    <n v="0"/>
    <n v="22756913"/>
    <n v="-22756913"/>
    <n v="113784561"/>
    <n v="91027648"/>
  </r>
  <r>
    <x v="1"/>
    <x v="0"/>
    <s v="N.A"/>
    <s v="Si"/>
    <n v="32"/>
    <s v="111-40"/>
    <s v="N.A"/>
    <x v="26"/>
    <x v="37"/>
    <n v="80111620"/>
    <x v="41"/>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m/>
    <m/>
    <n v="0"/>
    <n v="0"/>
    <n v="0"/>
    <n v="11155440"/>
    <n v="11155440"/>
  </r>
  <r>
    <x v="1"/>
    <x v="0"/>
    <s v="N.A"/>
    <s v="Si"/>
    <n v="47"/>
    <s v="111-41"/>
    <s v="N.A"/>
    <x v="26"/>
    <x v="37"/>
    <n v="81112501"/>
    <x v="34"/>
    <s v="Adquisición de bienes y/o servicios (otros)"/>
    <s v="111-41 Contratar el servicio de enlace dedicado a internet para la UPME"/>
    <s v="Abril"/>
    <s v="Abril"/>
    <s v="Abril"/>
    <n v="7"/>
    <s v="Meses"/>
    <s v="Contratación directa"/>
    <s v="Propios - 20 - Ingresos corrientes"/>
    <n v="12016849"/>
    <n v="12016849"/>
    <s v="No"/>
    <s v="N/A"/>
    <s v="Nicolas Mejía"/>
    <s v="Coordinador GIT Gestion Administrativa"/>
    <n v="6012220601"/>
    <s v="oscar.mejia@upme.gov.co"/>
    <m/>
    <m/>
    <m/>
    <m/>
    <m/>
    <m/>
    <m/>
    <m/>
    <m/>
    <m/>
    <m/>
    <m/>
    <m/>
    <m/>
    <m/>
    <m/>
    <m/>
    <m/>
    <m/>
    <n v="1759410"/>
    <m/>
    <n v="1759410"/>
    <m/>
    <n v="1759413"/>
    <m/>
    <m/>
    <n v="0"/>
    <n v="5278233"/>
    <n v="-5278233"/>
    <n v="12016849"/>
    <n v="6738616"/>
  </r>
  <r>
    <x v="1"/>
    <x v="0"/>
    <s v="N.A"/>
    <s v="Si"/>
    <n v="30"/>
    <s v="111-42"/>
    <s v="N.A"/>
    <x v="26"/>
    <x v="37"/>
    <n v="80111600"/>
    <x v="38"/>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n v="6226500"/>
    <m/>
    <n v="6226500"/>
    <m/>
    <n v="12453000"/>
    <m/>
    <m/>
    <n v="0"/>
    <n v="24906000"/>
    <n v="-24906000"/>
    <n v="37359000"/>
    <n v="12453000"/>
  </r>
  <r>
    <x v="1"/>
    <x v="0"/>
    <s v="N.A"/>
    <s v="Si"/>
    <n v="32"/>
    <s v="111-43"/>
    <s v="N.A"/>
    <x v="26"/>
    <x v="37"/>
    <n v="80111620"/>
    <x v="38"/>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n v="3996300"/>
    <m/>
    <n v="3996300"/>
    <m/>
    <n v="7992600"/>
    <m/>
    <m/>
    <n v="0"/>
    <n v="15985200"/>
    <n v="-15985200"/>
    <n v="23977800"/>
    <n v="7992600"/>
  </r>
  <r>
    <x v="1"/>
    <x v="0"/>
    <s v="N.A"/>
    <s v="Si"/>
    <n v="32"/>
    <s v="111-44"/>
    <s v="N.A"/>
    <x v="26"/>
    <x v="37"/>
    <n v="80111620"/>
    <x v="38"/>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n v="3996300"/>
    <m/>
    <n v="3996300"/>
    <m/>
    <n v="7992600"/>
    <m/>
    <m/>
    <n v="0"/>
    <n v="15985200"/>
    <n v="-15985200"/>
    <n v="23977800"/>
    <n v="7992600"/>
  </r>
  <r>
    <x v="1"/>
    <x v="0"/>
    <s v="N.A"/>
    <s v="Si"/>
    <n v="32"/>
    <s v="111-45"/>
    <s v="N.A"/>
    <x v="26"/>
    <x v="37"/>
    <n v="80111620"/>
    <x v="38"/>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n v="6226500"/>
    <m/>
    <n v="6226500"/>
    <m/>
    <n v="12453000"/>
    <m/>
    <m/>
    <n v="0"/>
    <n v="24906000"/>
    <n v="-24906000"/>
    <n v="37359000"/>
    <n v="12453000"/>
  </r>
  <r>
    <x v="1"/>
    <x v="0"/>
    <s v="N.A"/>
    <s v="Si"/>
    <n v="37"/>
    <s v="111-46"/>
    <s v="N.A"/>
    <x v="26"/>
    <x v="37"/>
    <n v="80111620"/>
    <x v="38"/>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m/>
    <m/>
    <n v="0"/>
    <n v="0"/>
    <n v="0"/>
    <n v="33208000"/>
    <n v="33208000"/>
  </r>
  <r>
    <x v="1"/>
    <x v="0"/>
    <s v="N.A"/>
    <s v="Si"/>
    <n v="33"/>
    <s v="111-47"/>
    <s v="N.A"/>
    <x v="26"/>
    <x v="37"/>
    <n v="80111620"/>
    <x v="4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m/>
    <m/>
    <n v="0"/>
    <n v="0"/>
    <n v="0"/>
    <n v="35537600"/>
    <n v="35537600"/>
  </r>
  <r>
    <x v="1"/>
    <x v="0"/>
    <s v="N.A"/>
    <s v="Si"/>
    <n v="35"/>
    <s v="111-48"/>
    <s v="N.A"/>
    <x v="26"/>
    <x v="37"/>
    <n v="80111620"/>
    <x v="38"/>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m/>
    <m/>
    <n v="0"/>
    <n v="0"/>
    <n v="0"/>
    <n v="11676000"/>
    <n v="11676000"/>
  </r>
  <r>
    <x v="1"/>
    <x v="0"/>
    <s v="N.A"/>
    <s v="Si"/>
    <n v="35"/>
    <s v="111-49"/>
    <s v="N.A"/>
    <x v="26"/>
    <x v="37"/>
    <n v="80111620"/>
    <x v="38"/>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m/>
    <m/>
    <n v="0"/>
    <n v="0"/>
    <n v="0"/>
    <n v="28700000"/>
    <n v="28700000"/>
  </r>
  <r>
    <x v="1"/>
    <x v="0"/>
    <s v="N.A"/>
    <s v="Si"/>
    <n v="43"/>
    <s v="111-50"/>
    <s v="N.A"/>
    <x v="26"/>
    <x v="37"/>
    <n v="80111620"/>
    <x v="38"/>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m/>
    <m/>
    <n v="0"/>
    <n v="0"/>
    <n v="0"/>
    <n v="0"/>
    <n v="0"/>
  </r>
  <r>
    <x v="1"/>
    <x v="0"/>
    <s v="N.A"/>
    <s v="Si"/>
    <n v="37"/>
    <s v="111-51"/>
    <s v="N.A"/>
    <x v="26"/>
    <x v="37"/>
    <n v="80111620"/>
    <x v="38"/>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16422250"/>
    <n v="16422250"/>
    <s v="No"/>
    <s v="N/A"/>
    <s v="Nicolas Mejía"/>
    <s v="Coordinador GIT Gestion Administrativa"/>
    <n v="6012220601"/>
    <s v="oscar.mejia@upme.gov.co"/>
    <m/>
    <m/>
    <m/>
    <m/>
    <m/>
    <m/>
    <m/>
    <m/>
    <m/>
    <m/>
    <m/>
    <m/>
    <m/>
    <m/>
    <m/>
    <m/>
    <m/>
    <m/>
    <m/>
    <m/>
    <m/>
    <m/>
    <m/>
    <m/>
    <m/>
    <m/>
    <n v="0"/>
    <n v="0"/>
    <n v="0"/>
    <n v="16422250"/>
    <n v="16422250"/>
  </r>
  <r>
    <x v="1"/>
    <x v="0"/>
    <s v="N.A"/>
    <s v="Si"/>
    <n v="44"/>
    <s v="111-52"/>
    <s v="N.A"/>
    <x v="26"/>
    <x v="37"/>
    <n v="80111620"/>
    <x v="38"/>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m/>
    <m/>
    <n v="0"/>
    <n v="0"/>
    <n v="0"/>
    <n v="0"/>
    <n v="0"/>
  </r>
  <r>
    <x v="1"/>
    <x v="0"/>
    <s v="N.A"/>
    <s v="Si"/>
    <n v="44"/>
    <s v="111-53"/>
    <s v="N.A"/>
    <x v="26"/>
    <x v="37"/>
    <n v="80101126"/>
    <x v="38"/>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m/>
    <m/>
    <n v="0"/>
    <n v="0"/>
    <n v="0"/>
    <n v="14894040"/>
    <n v="14894040"/>
  </r>
  <r>
    <x v="1"/>
    <x v="0"/>
    <s v="N.A"/>
    <s v="Si"/>
    <n v="44"/>
    <s v="111-54"/>
    <s v="N.A"/>
    <x v="26"/>
    <x v="37"/>
    <n v="80101126"/>
    <x v="38"/>
    <s v="Prestación de servicios profesionales y/o de apoyo a la gestión"/>
    <s v="111-54 Prestar los servicios de apoyo a la gestión para el desarrollo de actividades enmarcadas en el cumplimiento del Plan de Bienestar y Seguridad y Salud en el trabajo."/>
    <s v="Septiembre"/>
    <s v="Septiembre"/>
    <s v="Septiembre"/>
    <n v="3.5"/>
    <s v="Meses"/>
    <s v="Contratación directa"/>
    <s v="Propios - 20 - Ingresos corrientes"/>
    <n v="6383475"/>
    <n v="6383475"/>
    <s v="No"/>
    <s v="N/A"/>
    <s v="Katherine Perez"/>
    <s v="Coordinador GIT Talento humano"/>
    <n v="6012220601"/>
    <s v="katherin.perez@upme.gov.co"/>
    <m/>
    <m/>
    <m/>
    <m/>
    <m/>
    <m/>
    <m/>
    <m/>
    <m/>
    <m/>
    <m/>
    <m/>
    <m/>
    <m/>
    <m/>
    <m/>
    <m/>
    <m/>
    <m/>
    <m/>
    <m/>
    <m/>
    <m/>
    <m/>
    <m/>
    <m/>
    <n v="0"/>
    <n v="0"/>
    <n v="0"/>
    <n v="6383475"/>
    <n v="6383475"/>
  </r>
  <r>
    <x v="1"/>
    <x v="0"/>
    <s v="N.A"/>
    <s v="Si"/>
    <n v="44"/>
    <s v="111-55"/>
    <s v="N.A"/>
    <x v="26"/>
    <x v="37"/>
    <n v="80111620"/>
    <x v="38"/>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m/>
    <m/>
    <n v="0"/>
    <n v="0"/>
    <n v="0"/>
    <n v="21000000"/>
    <n v="21000000"/>
  </r>
  <r>
    <x v="1"/>
    <x v="8"/>
    <s v="N.A"/>
    <s v="Si"/>
    <s v="75 (30/12/2024)"/>
    <s v="161-1"/>
    <s v="N.A"/>
    <x v="26"/>
    <x v="37"/>
    <n v="80111620"/>
    <x v="41"/>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n v="7942200"/>
    <m/>
    <n v="7942200"/>
    <m/>
    <n v="15884400"/>
    <m/>
    <m/>
    <n v="0"/>
    <n v="31768800"/>
    <n v="-31768800"/>
    <n v="91335300"/>
    <n v="59566500"/>
  </r>
  <r>
    <x v="1"/>
    <x v="8"/>
    <s v="N.A"/>
    <s v="Si"/>
    <s v="75 (30/12/2024)"/>
    <s v="161-2"/>
    <s v="N.A"/>
    <x v="26"/>
    <x v="37"/>
    <n v="80111620"/>
    <x v="41"/>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n v="7942200"/>
    <m/>
    <n v="7942200"/>
    <m/>
    <n v="15884400"/>
    <m/>
    <m/>
    <n v="0"/>
    <n v="31768800"/>
    <n v="-31768800"/>
    <n v="91335300"/>
    <n v="59566500"/>
  </r>
  <r>
    <x v="1"/>
    <x v="8"/>
    <s v="N.A"/>
    <s v="Si"/>
    <s v="75 (30/12/2024)"/>
    <s v="161-3"/>
    <s v="N.A"/>
    <x v="26"/>
    <x v="37"/>
    <n v="80111620"/>
    <x v="41"/>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n v="6226500"/>
    <m/>
    <n v="6226500"/>
    <m/>
    <n v="12453000"/>
    <m/>
    <m/>
    <n v="0"/>
    <n v="24906000"/>
    <n v="-24906000"/>
    <n v="65378250"/>
    <n v="40472250"/>
  </r>
  <r>
    <x v="1"/>
    <x v="8"/>
    <s v="N.A"/>
    <s v="Si"/>
    <s v="75 (30/12/2024)"/>
    <s v="161-4"/>
    <s v="N.A"/>
    <x v="26"/>
    <x v="37"/>
    <n v="80111620"/>
    <x v="41"/>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m/>
    <m/>
    <n v="0"/>
    <n v="0"/>
    <n v="0"/>
    <n v="20748000"/>
    <n v="20748000"/>
  </r>
  <r>
    <x v="1"/>
    <x v="8"/>
    <s v="N.A"/>
    <s v="Si"/>
    <s v="75 (30/12/2024)"/>
    <s v="161-5"/>
    <s v="N.A"/>
    <x v="26"/>
    <x v="37"/>
    <n v="80111620"/>
    <x v="41"/>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4380600"/>
    <m/>
    <m/>
    <n v="0"/>
    <n v="10951500"/>
    <n v="-10951500"/>
    <n v="36139950"/>
    <n v="25188450"/>
  </r>
  <r>
    <x v="1"/>
    <x v="8"/>
    <s v="N.A"/>
    <s v="Si"/>
    <s v="75 (30/12/2024)"/>
    <s v="161-6"/>
    <s v="N.A"/>
    <x v="26"/>
    <x v="37"/>
    <n v="80111620"/>
    <x v="41"/>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6570900"/>
    <m/>
    <m/>
    <n v="0"/>
    <n v="13141800"/>
    <n v="-13141800"/>
    <n v="36139950"/>
    <n v="22998150"/>
  </r>
  <r>
    <x v="1"/>
    <x v="8"/>
    <s v="N.A"/>
    <s v="Si"/>
    <n v="41"/>
    <s v="161-7"/>
    <s v="N.A"/>
    <x v="26"/>
    <x v="37"/>
    <n v="80111620"/>
    <x v="41"/>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n v="3285450"/>
    <m/>
    <n v="3285450"/>
    <m/>
    <n v="4928175"/>
    <m/>
    <m/>
    <n v="0"/>
    <n v="11499075"/>
    <n v="-11499075"/>
    <n v="39691540"/>
    <n v="28192465"/>
  </r>
  <r>
    <x v="1"/>
    <x v="8"/>
    <s v="N.A"/>
    <s v="Si"/>
    <s v="75 (30/12/2024)"/>
    <s v="161-8"/>
    <s v="N.A"/>
    <x v="26"/>
    <x v="37"/>
    <n v="80111620"/>
    <x v="41"/>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6570900"/>
    <m/>
    <m/>
    <n v="0"/>
    <n v="13141800"/>
    <n v="-13141800"/>
    <n v="36139950"/>
    <n v="22998150"/>
  </r>
  <r>
    <x v="1"/>
    <x v="8"/>
    <s v="N.A"/>
    <s v="Si"/>
    <n v="41"/>
    <s v="161-9"/>
    <s v="N.A"/>
    <x v="26"/>
    <x v="37"/>
    <n v="80111620"/>
    <x v="41"/>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n v="3285450"/>
    <m/>
    <n v="3285450"/>
    <m/>
    <n v="6570900"/>
    <m/>
    <m/>
    <n v="0"/>
    <n v="13141800"/>
    <n v="-13141800"/>
    <n v="37939300"/>
    <n v="24797500"/>
  </r>
  <r>
    <x v="1"/>
    <x v="8"/>
    <s v="N.A"/>
    <s v="Si"/>
    <s v="75 (30/12/2024)"/>
    <s v="161-10"/>
    <s v="N.A"/>
    <x v="26"/>
    <x v="37"/>
    <n v="80111620"/>
    <x v="41"/>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6570900"/>
    <m/>
    <m/>
    <n v="0"/>
    <n v="13141800"/>
    <n v="-13141800"/>
    <n v="36139950"/>
    <n v="22998150"/>
  </r>
  <r>
    <x v="1"/>
    <x v="8"/>
    <s v="N.A"/>
    <s v="Si"/>
    <n v="41"/>
    <s v="161-11"/>
    <s v="N.A"/>
    <x v="26"/>
    <x v="37"/>
    <n v="80111620"/>
    <x v="41"/>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n v="3285450"/>
    <m/>
    <n v="3285450"/>
    <m/>
    <n v="6570900"/>
    <m/>
    <m/>
    <n v="0"/>
    <n v="13141800"/>
    <n v="-13141800"/>
    <n v="37939300"/>
    <n v="24797500"/>
  </r>
  <r>
    <x v="1"/>
    <x v="8"/>
    <s v="N.A"/>
    <s v="Si"/>
    <s v="75 (30/12/2024)"/>
    <s v="161-12"/>
    <s v="N.A"/>
    <x v="26"/>
    <x v="37"/>
    <n v="80111620"/>
    <x v="41"/>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n v="3630900"/>
    <m/>
    <n v="3630900"/>
    <m/>
    <n v="7261800"/>
    <m/>
    <m/>
    <n v="0"/>
    <n v="14523600"/>
    <n v="-14523600"/>
    <n v="39939900"/>
    <n v="25416300"/>
  </r>
  <r>
    <x v="1"/>
    <x v="8"/>
    <s v="N.A"/>
    <s v="Si"/>
    <s v="75 (30/12/2024)"/>
    <s v="161-13"/>
    <s v="N.A"/>
    <x v="26"/>
    <x v="37"/>
    <n v="80111620"/>
    <x v="41"/>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n v="3630900"/>
    <m/>
    <n v="3630900"/>
    <m/>
    <n v="7261800"/>
    <m/>
    <m/>
    <n v="0"/>
    <n v="14523600"/>
    <n v="-14523600"/>
    <n v="39939900"/>
    <n v="25416300"/>
  </r>
  <r>
    <x v="1"/>
    <x v="8"/>
    <s v="N.A"/>
    <s v="Si"/>
    <n v="26"/>
    <s v="161-14"/>
    <s v="N.A"/>
    <x v="26"/>
    <x v="37"/>
    <n v="80111620"/>
    <x v="41"/>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n v="3285450"/>
    <m/>
    <n v="3285450"/>
    <m/>
    <n v="6823635"/>
    <m/>
    <m/>
    <n v="0"/>
    <n v="13394535"/>
    <n v="-13394535"/>
    <n v="23579430"/>
    <n v="10184895"/>
  </r>
  <r>
    <x v="1"/>
    <x v="8"/>
    <s v="N.A"/>
    <s v="Si"/>
    <n v="26"/>
    <s v="161-15"/>
    <s v="N.A"/>
    <x v="26"/>
    <x v="37"/>
    <n v="80111620"/>
    <x v="41"/>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n v="3285450"/>
    <m/>
    <n v="3285450"/>
    <m/>
    <n v="6570900"/>
    <m/>
    <m/>
    <n v="0"/>
    <n v="13141800"/>
    <n v="-13141800"/>
    <n v="23326695"/>
    <n v="10184895"/>
  </r>
  <r>
    <x v="1"/>
    <x v="8"/>
    <s v="N.A"/>
    <s v="Si"/>
    <n v="26"/>
    <s v="161-16"/>
    <s v="N.A"/>
    <x v="26"/>
    <x v="37"/>
    <n v="80111620"/>
    <x v="41"/>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n v="3285450"/>
    <m/>
    <n v="3285450"/>
    <m/>
    <n v="6570900"/>
    <m/>
    <m/>
    <n v="0"/>
    <n v="13141800"/>
    <n v="-13141800"/>
    <n v="23326695"/>
    <n v="10184895"/>
  </r>
  <r>
    <x v="1"/>
    <x v="8"/>
    <s v="N.A"/>
    <s v="Si"/>
    <n v="42"/>
    <s v="161-17"/>
    <s v="N.A"/>
    <x v="26"/>
    <x v="37"/>
    <n v="80111620"/>
    <x v="41"/>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n v="4374300"/>
    <m/>
    <n v="4374300"/>
    <m/>
    <n v="8748600"/>
    <m/>
    <m/>
    <n v="48117300"/>
    <n v="17497200"/>
    <n v="30620100"/>
    <n v="1020670"/>
    <n v="31640770"/>
  </r>
  <r>
    <x v="1"/>
    <x v="8"/>
    <s v="N.A"/>
    <s v="Si"/>
    <n v="41"/>
    <s v="161-18"/>
    <s v="N.A"/>
    <x v="26"/>
    <x v="37"/>
    <n v="80111620"/>
    <x v="41"/>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n v="4374300"/>
    <m/>
    <n v="4374300"/>
    <m/>
    <n v="5832400"/>
    <m/>
    <m/>
    <n v="0"/>
    <n v="14581000"/>
    <n v="-14581000"/>
    <n v="53483220"/>
    <n v="38902220"/>
  </r>
  <r>
    <x v="1"/>
    <x v="8"/>
    <s v="N.A"/>
    <s v="Si"/>
    <n v="42"/>
    <s v="161-19"/>
    <s v="N.A"/>
    <x v="26"/>
    <x v="37"/>
    <n v="80111620"/>
    <x v="41"/>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n v="4374300"/>
    <m/>
    <n v="4374300"/>
    <m/>
    <n v="8748600"/>
    <m/>
    <m/>
    <n v="0"/>
    <n v="17497200"/>
    <n v="-17497200"/>
    <n v="47534060"/>
    <n v="30036860"/>
  </r>
  <r>
    <x v="1"/>
    <x v="8"/>
    <s v="N.A"/>
    <s v="Si"/>
    <n v="42"/>
    <s v="161-20"/>
    <s v="N.A"/>
    <x v="26"/>
    <x v="37"/>
    <n v="80111620"/>
    <x v="41"/>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n v="6663300"/>
    <m/>
    <n v="6663300"/>
    <m/>
    <n v="13326600"/>
    <m/>
    <m/>
    <n v="73296300"/>
    <n v="26653200"/>
    <n v="46643100"/>
    <n v="1554770"/>
    <n v="48197870"/>
  </r>
  <r>
    <x v="1"/>
    <x v="8"/>
    <s v="N.A"/>
    <s v="Si"/>
    <n v="42"/>
    <s v="161-21"/>
    <s v="N.A"/>
    <x v="26"/>
    <x v="37"/>
    <n v="80111620"/>
    <x v="41"/>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n v="6663300"/>
    <m/>
    <n v="6663300"/>
    <m/>
    <n v="13326600"/>
    <m/>
    <m/>
    <n v="73296300"/>
    <n v="26653200"/>
    <n v="46643100"/>
    <n v="1554770"/>
    <n v="48197870"/>
  </r>
  <r>
    <x v="1"/>
    <x v="8"/>
    <s v="N.A"/>
    <s v="Si"/>
    <n v="42"/>
    <s v="161-22"/>
    <s v="N.A"/>
    <x v="26"/>
    <x v="37"/>
    <n v="80111620"/>
    <x v="41"/>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034800"/>
    <m/>
    <m/>
    <m/>
    <m/>
    <m/>
    <m/>
    <m/>
    <m/>
    <m/>
    <m/>
    <m/>
    <m/>
    <m/>
    <m/>
    <m/>
    <m/>
    <m/>
    <m/>
    <n v="7366800"/>
    <m/>
    <n v="7366800"/>
    <m/>
    <n v="14733600"/>
    <m/>
    <m/>
    <n v="8034800"/>
    <n v="29467200"/>
    <n v="-21432400"/>
    <n v="74964480"/>
    <n v="53532080"/>
  </r>
  <r>
    <x v="1"/>
    <x v="8"/>
    <s v="N.A"/>
    <s v="Si"/>
    <n v="42"/>
    <s v="161-23"/>
    <s v="N.A"/>
    <x v="26"/>
    <x v="37"/>
    <n v="80111620"/>
    <x v="41"/>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n v="7366800"/>
    <m/>
    <n v="7366800"/>
    <m/>
    <n v="11050200"/>
    <m/>
    <m/>
    <n v="0"/>
    <n v="25783800"/>
    <n v="-25783800"/>
    <n v="83490400"/>
    <n v="57706600"/>
  </r>
  <r>
    <x v="1"/>
    <x v="8"/>
    <s v="N.A"/>
    <s v="Si"/>
    <n v="26"/>
    <s v="161-24"/>
    <s v="N.A"/>
    <x v="26"/>
    <x v="37"/>
    <n v="80111620"/>
    <x v="41"/>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n v="3285450"/>
    <m/>
    <n v="3285450"/>
    <m/>
    <n v="6570900"/>
    <m/>
    <m/>
    <n v="0"/>
    <n v="13141800"/>
    <n v="-13141800"/>
    <n v="22669605"/>
    <n v="9527805"/>
  </r>
  <r>
    <x v="1"/>
    <x v="8"/>
    <s v="N.A"/>
    <s v="Si"/>
    <n v="26"/>
    <s v="161-25"/>
    <s v="N.A"/>
    <x v="26"/>
    <x v="37"/>
    <n v="80111620"/>
    <x v="41"/>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31675140"/>
    <n v="31675140"/>
    <s v="No"/>
    <s v="N/A"/>
    <s v="Jessica Arias Gaviria"/>
    <s v="Subdirectora de Demanda"/>
    <n v="6012220601"/>
    <s v="jessica.arias@upme.gov.co"/>
    <m/>
    <m/>
    <m/>
    <m/>
    <m/>
    <m/>
    <m/>
    <m/>
    <m/>
    <m/>
    <m/>
    <m/>
    <m/>
    <m/>
    <m/>
    <m/>
    <m/>
    <m/>
    <m/>
    <n v="4590600"/>
    <m/>
    <n v="4590600"/>
    <m/>
    <n v="9181200"/>
    <m/>
    <m/>
    <n v="0"/>
    <n v="18362400"/>
    <n v="-18362400"/>
    <n v="31675140"/>
    <n v="13312740"/>
  </r>
  <r>
    <x v="1"/>
    <x v="8"/>
    <s v="N.A"/>
    <s v="Si"/>
    <s v="75 (30/12/2024)"/>
    <s v="161-26"/>
    <s v="N.A"/>
    <x v="26"/>
    <x v="37"/>
    <n v="80111620"/>
    <x v="41"/>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5150000"/>
    <n v="95150000"/>
    <s v="No"/>
    <s v="N/A"/>
    <s v="Jessica Arias Gaviria"/>
    <s v="Subdirectora de Demanda"/>
    <n v="6012220601"/>
    <s v="jessica.arias@upme.gov.co"/>
    <m/>
    <m/>
    <m/>
    <m/>
    <m/>
    <m/>
    <m/>
    <m/>
    <m/>
    <m/>
    <m/>
    <m/>
    <m/>
    <m/>
    <m/>
    <m/>
    <m/>
    <m/>
    <m/>
    <n v="8650000"/>
    <m/>
    <n v="8650000"/>
    <m/>
    <n v="17300000"/>
    <m/>
    <m/>
    <n v="0"/>
    <n v="34600000"/>
    <n v="-34600000"/>
    <n v="95150000"/>
    <n v="60550000"/>
  </r>
  <r>
    <x v="1"/>
    <x v="8"/>
    <s v="N.A"/>
    <s v="Si"/>
    <n v="42"/>
    <s v="161-27"/>
    <s v="N.A"/>
    <x v="26"/>
    <x v="37"/>
    <n v="80111620"/>
    <x v="41"/>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2475000"/>
    <n v="102475000"/>
    <s v="No"/>
    <s v="N/A"/>
    <s v="Jessica Arias Gaviria"/>
    <s v="Subdirectora de Demanda"/>
    <n v="6012220601"/>
    <s v="jessica.arias@upme.gov.co"/>
    <m/>
    <m/>
    <m/>
    <m/>
    <m/>
    <m/>
    <m/>
    <m/>
    <m/>
    <m/>
    <m/>
    <m/>
    <m/>
    <m/>
    <m/>
    <m/>
    <m/>
    <m/>
    <m/>
    <n v="8920000"/>
    <m/>
    <n v="8920000"/>
    <m/>
    <n v="16978000"/>
    <m/>
    <m/>
    <n v="0"/>
    <n v="34818000"/>
    <n v="-34818000"/>
    <n v="102475000"/>
    <n v="67657000"/>
  </r>
  <r>
    <x v="1"/>
    <x v="8"/>
    <s v="N.A"/>
    <s v="Si"/>
    <n v="42"/>
    <s v="161-28"/>
    <s v="N.A"/>
    <x v="26"/>
    <x v="37"/>
    <n v="80111620"/>
    <x v="41"/>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n v="8920000"/>
    <m/>
    <n v="8920000"/>
    <m/>
    <n v="11925000"/>
    <m/>
    <m/>
    <n v="0"/>
    <n v="29765000"/>
    <n v="-29765000"/>
    <n v="104205000"/>
    <n v="74440000"/>
  </r>
  <r>
    <x v="1"/>
    <x v="8"/>
    <s v="N.A"/>
    <s v="Si"/>
    <s v="75 (30/12/2024)"/>
    <s v="161-29"/>
    <s v="N.A"/>
    <x v="26"/>
    <x v="37"/>
    <n v="80111620"/>
    <x v="41"/>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n v="8650000"/>
    <m/>
    <n v="8650000"/>
    <m/>
    <n v="17300000"/>
    <m/>
    <m/>
    <n v="95150000"/>
    <n v="34600000"/>
    <n v="60550000"/>
    <n v="0"/>
    <n v="60550000"/>
  </r>
  <r>
    <x v="1"/>
    <x v="8"/>
    <s v="N.A"/>
    <s v="Si"/>
    <s v="75 (30/12/2024)"/>
    <s v="161-30"/>
    <s v="N.A"/>
    <x v="26"/>
    <x v="37"/>
    <n v="80111620"/>
    <x v="41"/>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7150000"/>
    <n v="97150000"/>
    <s v="No"/>
    <s v="N/A"/>
    <s v="Jessica Arias Gaviria"/>
    <s v="Subdirectora de Demanda"/>
    <n v="6012220601"/>
    <s v="jessica.arias@upme.gov.co"/>
    <m/>
    <m/>
    <m/>
    <m/>
    <m/>
    <m/>
    <m/>
    <m/>
    <m/>
    <m/>
    <m/>
    <m/>
    <m/>
    <m/>
    <m/>
    <m/>
    <m/>
    <m/>
    <m/>
    <n v="8800000"/>
    <m/>
    <n v="8800000"/>
    <m/>
    <n v="17950000"/>
    <m/>
    <m/>
    <n v="0"/>
    <n v="35550000"/>
    <n v="-35550000"/>
    <n v="97150000"/>
    <n v="61600000"/>
  </r>
  <r>
    <x v="1"/>
    <x v="8"/>
    <s v="N.A"/>
    <s v="Si"/>
    <n v="5"/>
    <s v="161-31"/>
    <s v="N.A"/>
    <x v="26"/>
    <x v="37"/>
    <n v="80111620"/>
    <x v="41"/>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n v="8997450"/>
    <m/>
    <n v="8997450"/>
    <m/>
    <n v="17994900"/>
    <m/>
    <m/>
    <n v="0"/>
    <n v="35989800"/>
    <n v="-35989800"/>
    <n v="96272715"/>
    <n v="60282915"/>
  </r>
  <r>
    <x v="1"/>
    <x v="8"/>
    <s v="N.A"/>
    <s v="Si"/>
    <s v="75 (30/12/2024)"/>
    <s v="161-32"/>
    <s v="N.A"/>
    <x v="26"/>
    <x v="37"/>
    <n v="80111620"/>
    <x v="41"/>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n v="7727273"/>
    <m/>
    <n v="7727273"/>
    <m/>
    <n v="15454543"/>
    <m/>
    <m/>
    <n v="85000000"/>
    <n v="30909089"/>
    <n v="54090911"/>
    <n v="0"/>
    <n v="54090911"/>
  </r>
  <r>
    <x v="1"/>
    <x v="8"/>
    <s v="N.A"/>
    <s v="Si"/>
    <s v="75 (30/12/2024)"/>
    <s v="161-33"/>
    <s v="N.A"/>
    <x v="26"/>
    <x v="37"/>
    <n v="80111620"/>
    <x v="41"/>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0138452"/>
    <n v="120138452"/>
    <s v="No"/>
    <s v="N/A"/>
    <s v="Jessica Arias Gaviria"/>
    <s v="Subdirectora de Demanda"/>
    <n v="6012220601"/>
    <s v="jessica.arias@upme.gov.co"/>
    <m/>
    <m/>
    <m/>
    <m/>
    <m/>
    <m/>
    <m/>
    <m/>
    <m/>
    <m/>
    <m/>
    <m/>
    <m/>
    <m/>
    <m/>
    <m/>
    <m/>
    <m/>
    <m/>
    <n v="10446822"/>
    <m/>
    <n v="10446822"/>
    <m/>
    <n v="20893644"/>
    <m/>
    <m/>
    <n v="0"/>
    <n v="41787288"/>
    <n v="-41787288"/>
    <n v="120138452"/>
    <n v="78351164"/>
  </r>
  <r>
    <x v="1"/>
    <x v="8"/>
    <s v="N.A"/>
    <s v="Si"/>
    <n v="13"/>
    <s v="161-34"/>
    <s v="N.A"/>
    <x v="26"/>
    <x v="37"/>
    <n v="80111620"/>
    <x v="41"/>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n v="7053862"/>
    <m/>
    <n v="7053862"/>
    <m/>
    <n v="6732560"/>
    <m/>
    <m/>
    <n v="0"/>
    <n v="20840284"/>
    <n v="-20840284"/>
    <n v="64010920"/>
    <n v="43170636"/>
  </r>
  <r>
    <x v="1"/>
    <x v="8"/>
    <s v="N.A"/>
    <s v="Si"/>
    <n v="48"/>
    <s v="161-35"/>
    <s v="N.A"/>
    <x v="26"/>
    <x v="37"/>
    <n v="81101516"/>
    <x v="41"/>
    <s v="Consultoría"/>
    <s v="161-35 Diseñar y estructurar el contenido técnico y la propuesta de acreditación y certificación del programa de capacitación para gestores energéticos"/>
    <s v="Mayo"/>
    <s v="Junio "/>
    <s v="Julio "/>
    <n v="5"/>
    <s v="Meses"/>
    <s v="Contratación régimen especial (con ofertas) - Régimen especial"/>
    <s v="Propios - 20 - Ingresos corrientes"/>
    <n v="17557199"/>
    <n v="17557199"/>
    <s v="No"/>
    <s v="N/A"/>
    <s v="Jessica Arias Gaviria"/>
    <s v="Subdirectora de Demanda"/>
    <n v="6012220601"/>
    <s v="jessica.arias@upme.gov.co"/>
    <m/>
    <m/>
    <m/>
    <m/>
    <m/>
    <m/>
    <m/>
    <m/>
    <m/>
    <m/>
    <m/>
    <m/>
    <m/>
    <m/>
    <m/>
    <m/>
    <m/>
    <m/>
    <m/>
    <n v="187646860"/>
    <m/>
    <m/>
    <m/>
    <n v="140735144"/>
    <m/>
    <m/>
    <n v="0"/>
    <n v="328382004"/>
    <n v="-328382004"/>
    <n v="17557199"/>
    <n v="-310824805"/>
  </r>
  <r>
    <x v="1"/>
    <x v="8"/>
    <s v="N.A"/>
    <s v="Si"/>
    <n v="42"/>
    <s v="161-36"/>
    <s v="N.A"/>
    <x v="26"/>
    <x v="37"/>
    <n v="80111620"/>
    <x v="43"/>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n v="9000000"/>
    <m/>
    <n v="9000000"/>
    <m/>
    <n v="18000000"/>
    <m/>
    <m/>
    <n v="0"/>
    <n v="36000000"/>
    <n v="-36000000"/>
    <n v="105000000"/>
    <n v="69000000"/>
  </r>
  <r>
    <x v="1"/>
    <x v="8"/>
    <s v="N.A"/>
    <s v="Si"/>
    <n v="42"/>
    <s v="161-37"/>
    <s v="N.A"/>
    <x v="26"/>
    <x v="37"/>
    <n v="80111620"/>
    <x v="43"/>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n v="6615000"/>
    <m/>
    <n v="6615000"/>
    <m/>
    <n v="13230000"/>
    <m/>
    <m/>
    <n v="72765000"/>
    <n v="26460000"/>
    <n v="46305000"/>
    <n v="1543500"/>
    <n v="47848500"/>
  </r>
  <r>
    <x v="1"/>
    <x v="8"/>
    <s v="N.A"/>
    <s v="Si"/>
    <s v="75 (30/12/2024)"/>
    <s v="161-38"/>
    <s v="N.A"/>
    <x v="26"/>
    <x v="37"/>
    <n v="80111620"/>
    <x v="43"/>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n v="9200000"/>
    <m/>
    <n v="9200000"/>
    <m/>
    <n v="18400000"/>
    <m/>
    <m/>
    <n v="0"/>
    <n v="36800000"/>
    <n v="-36800000"/>
    <n v="101200000"/>
    <n v="64400000"/>
  </r>
  <r>
    <x v="1"/>
    <x v="8"/>
    <s v="N.A"/>
    <s v="Si"/>
    <n v="5"/>
    <s v="161-39"/>
    <s v="N.A"/>
    <x v="26"/>
    <x v="37"/>
    <n v="80111620"/>
    <x v="43"/>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11002815"/>
    <n v="111002815"/>
    <s v="No"/>
    <s v="N/A"/>
    <s v="Jessica Arias Gaviria"/>
    <s v="Subdirectora de Demanda"/>
    <n v="6012220601"/>
    <s v="jessica.arias@upme.gov.co"/>
    <m/>
    <m/>
    <m/>
    <m/>
    <m/>
    <m/>
    <m/>
    <m/>
    <m/>
    <m/>
    <m/>
    <m/>
    <m/>
    <m/>
    <m/>
    <m/>
    <m/>
    <m/>
    <m/>
    <n v="9677850"/>
    <m/>
    <n v="9677850"/>
    <m/>
    <n v="23902165"/>
    <m/>
    <m/>
    <n v="0"/>
    <n v="43257865"/>
    <n v="-43257865"/>
    <n v="111002815"/>
    <n v="67744950"/>
  </r>
  <r>
    <x v="1"/>
    <x v="8"/>
    <s v="N.A"/>
    <s v="Si"/>
    <n v="42"/>
    <s v="161-40"/>
    <s v="N.A"/>
    <x v="26"/>
    <x v="37"/>
    <n v="80111620"/>
    <x v="43"/>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n v="5000000"/>
    <m/>
    <n v="5000000"/>
    <m/>
    <n v="10000000"/>
    <m/>
    <m/>
    <n v="0"/>
    <n v="20000000"/>
    <n v="-20000000"/>
    <n v="57666667"/>
    <n v="37666667"/>
  </r>
  <r>
    <x v="1"/>
    <x v="8"/>
    <s v="N.A"/>
    <s v="Si"/>
    <n v="44"/>
    <s v="161-41"/>
    <s v="N.A"/>
    <x v="26"/>
    <x v="37"/>
    <n v="80111620"/>
    <x v="41"/>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n v="5416950"/>
    <m/>
    <n v="5416950"/>
    <m/>
    <n v="8125425"/>
    <m/>
    <m/>
    <n v="0"/>
    <n v="18959325"/>
    <n v="-18959325"/>
    <n v="65121334"/>
    <n v="46162009"/>
  </r>
  <r>
    <x v="1"/>
    <x v="8"/>
    <s v="N.A"/>
    <s v="Si"/>
    <n v="41"/>
    <s v="161-42"/>
    <s v="N.A"/>
    <x v="26"/>
    <x v="37"/>
    <n v="80111620"/>
    <x v="41"/>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n v="9500000"/>
    <m/>
    <n v="9500000"/>
    <m/>
    <n v="19000000"/>
    <m/>
    <m/>
    <n v="0"/>
    <n v="38000000"/>
    <n v="-38000000"/>
    <n v="111466667"/>
    <n v="73466667"/>
  </r>
  <r>
    <x v="1"/>
    <x v="8"/>
    <s v="N.A"/>
    <s v="Si"/>
    <n v="41"/>
    <s v="161-43"/>
    <s v="N.A"/>
    <x v="26"/>
    <x v="37"/>
    <n v="80111620"/>
    <x v="41"/>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n v="5000000"/>
    <m/>
    <n v="5000000"/>
    <m/>
    <n v="5000000"/>
    <m/>
    <m/>
    <n v="0"/>
    <n v="15000000"/>
    <n v="-15000000"/>
    <n v="59350000"/>
    <n v="44350000"/>
  </r>
  <r>
    <x v="1"/>
    <x v="8"/>
    <s v="N.A"/>
    <s v="Si"/>
    <s v="75 (30/12/2024)"/>
    <s v="161-44"/>
    <s v="N.A"/>
    <x v="26"/>
    <x v="37"/>
    <n v="80111620"/>
    <x v="43"/>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m/>
    <m/>
    <n v="5000000"/>
    <m/>
    <n v="5000000"/>
    <m/>
    <n v="5000000"/>
    <m/>
    <m/>
    <n v="0"/>
    <n v="15000000"/>
    <n v="-15000000"/>
    <n v="50000000"/>
    <n v="35000000"/>
  </r>
  <r>
    <x v="1"/>
    <x v="8"/>
    <s v="N.A"/>
    <s v="Si"/>
    <s v="75 (30/12/2024)"/>
    <s v="161-45"/>
    <s v="N.A"/>
    <x v="26"/>
    <x v="37"/>
    <n v="80111620"/>
    <x v="43"/>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5690000"/>
    <n v="85690000"/>
    <s v="No"/>
    <s v="N/A"/>
    <s v="Jessica Arias Gaviria"/>
    <s v="Subdirectora de Demanda"/>
    <n v="6012220601"/>
    <s v="jessica.arias@upme.gov.co"/>
    <m/>
    <m/>
    <m/>
    <m/>
    <m/>
    <m/>
    <m/>
    <m/>
    <m/>
    <m/>
    <m/>
    <m/>
    <m/>
    <m/>
    <m/>
    <m/>
    <m/>
    <m/>
    <m/>
    <n v="8569000"/>
    <m/>
    <n v="8569000"/>
    <m/>
    <n v="8569000"/>
    <m/>
    <m/>
    <n v="0"/>
    <n v="25707000"/>
    <n v="-25707000"/>
    <n v="85690000"/>
    <n v="59983000"/>
  </r>
  <r>
    <x v="1"/>
    <x v="8"/>
    <s v="N.A"/>
    <s v="Si"/>
    <s v="75 (30/12/2024)"/>
    <s v="161-46"/>
    <s v="N.A"/>
    <x v="26"/>
    <x v="37"/>
    <n v="80111620"/>
    <x v="43"/>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m/>
    <m/>
    <n v="5000000"/>
    <m/>
    <n v="5000000"/>
    <m/>
    <n v="5000000"/>
    <m/>
    <m/>
    <n v="0"/>
    <n v="15000000"/>
    <n v="-15000000"/>
    <n v="50000000"/>
    <n v="35000000"/>
  </r>
  <r>
    <x v="1"/>
    <x v="8"/>
    <s v="N.A"/>
    <s v="Si"/>
    <s v="75 (30/12/2024)"/>
    <s v="161-47"/>
    <s v="N.A"/>
    <x v="26"/>
    <x v="37"/>
    <n v="80111620"/>
    <x v="41"/>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r>
  <r>
    <x v="1"/>
    <x v="8"/>
    <s v="N.A"/>
    <s v="Si"/>
    <s v="75 (30/12/2024)"/>
    <s v="161-48"/>
    <s v="N.A"/>
    <x v="26"/>
    <x v="37"/>
    <n v="80111620"/>
    <x v="41"/>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r>
  <r>
    <x v="1"/>
    <x v="8"/>
    <s v="N.A"/>
    <s v="Si"/>
    <n v="48"/>
    <s v="161-49"/>
    <s v="N.A"/>
    <x v="26"/>
    <x v="37"/>
    <n v="80111620"/>
    <x v="43"/>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n v="8500000"/>
    <m/>
    <n v="8500000"/>
    <m/>
    <n v="17000000"/>
    <m/>
    <m/>
    <n v="0"/>
    <n v="34000000"/>
    <n v="-34000000"/>
    <n v="104562878"/>
    <n v="70562878"/>
  </r>
  <r>
    <x v="1"/>
    <x v="8"/>
    <s v="N.A"/>
    <s v="Si"/>
    <n v="31"/>
    <s v="161-50"/>
    <s v="N.A"/>
    <x v="26"/>
    <x v="37"/>
    <n v="80111620"/>
    <x v="41"/>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n v="7366800"/>
    <m/>
    <n v="7366800"/>
    <m/>
    <n v="7366800"/>
    <m/>
    <m/>
    <n v="0"/>
    <n v="22100400"/>
    <n v="-22100400"/>
    <n v="86191560"/>
    <n v="64091160"/>
  </r>
  <r>
    <x v="1"/>
    <x v="8"/>
    <s v="N.A"/>
    <s v="Si"/>
    <s v="75 (30/12/2024)"/>
    <s v="161-51"/>
    <s v="N.A"/>
    <x v="26"/>
    <x v="37"/>
    <s v="84111701;84101501"/>
    <x v="44"/>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n v="5513940"/>
    <m/>
    <n v="5513940"/>
    <m/>
    <n v="5513940"/>
    <m/>
    <m/>
    <n v="0"/>
    <n v="16541820"/>
    <n v="-16541820"/>
    <n v="66167280"/>
    <n v="49625460"/>
  </r>
  <r>
    <x v="1"/>
    <x v="8"/>
    <s v="N.A"/>
    <s v="Si"/>
    <n v="46"/>
    <s v="161-52"/>
    <s v="N.A"/>
    <x v="26"/>
    <x v="37"/>
    <n v="80111620"/>
    <x v="41"/>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n v="3536160"/>
    <m/>
    <n v="3536160"/>
    <m/>
    <n v="1768080"/>
    <m/>
    <m/>
    <n v="0"/>
    <n v="8840400"/>
    <n v="-8840400"/>
    <n v="37947000"/>
    <n v="29106600"/>
  </r>
  <r>
    <x v="1"/>
    <x v="8"/>
    <s v="N.A"/>
    <s v="Si"/>
    <n v="22"/>
    <s v="161-53"/>
    <s v="N.A"/>
    <x v="26"/>
    <x v="37"/>
    <n v="80111620"/>
    <x v="41"/>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n v="3285450"/>
    <m/>
    <n v="3285450"/>
    <m/>
    <n v="6570900"/>
    <m/>
    <m/>
    <n v="0"/>
    <n v="13141800"/>
    <n v="-13141800"/>
    <n v="14979160"/>
    <n v="1837360"/>
  </r>
  <r>
    <x v="1"/>
    <x v="8"/>
    <s v="N.A"/>
    <s v="Si"/>
    <s v="75 (30/12/2024)"/>
    <s v="161-54"/>
    <s v="N.A"/>
    <x v="26"/>
    <x v="37"/>
    <n v="80131500"/>
    <x v="45"/>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39469810"/>
    <n v="139469810"/>
    <s v="No"/>
    <s v="N/A"/>
    <s v="Yezmy Carolina Vargas"/>
    <s v="Coordinadora GIT Gestión Administrativa y Servicio al Ciudadano"/>
    <n v="6012220601"/>
    <s v="yezmy.vargas@upme.gov.co"/>
    <m/>
    <m/>
    <m/>
    <m/>
    <m/>
    <m/>
    <m/>
    <m/>
    <m/>
    <m/>
    <m/>
    <m/>
    <m/>
    <m/>
    <m/>
    <m/>
    <m/>
    <m/>
    <m/>
    <n v="11622484"/>
    <m/>
    <n v="11622484"/>
    <m/>
    <n v="11622486"/>
    <m/>
    <m/>
    <n v="0"/>
    <n v="34867454"/>
    <n v="-34867454"/>
    <n v="139469810"/>
    <n v="104602356"/>
  </r>
  <r>
    <x v="1"/>
    <x v="8"/>
    <s v="N.A"/>
    <s v="Si"/>
    <s v="75 (30/12/2024)"/>
    <s v="161-55"/>
    <s v="N.A"/>
    <x v="26"/>
    <x v="37"/>
    <n v="80111620"/>
    <x v="43"/>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74369600"/>
    <n v="74369600"/>
    <s v="No"/>
    <s v="N/A"/>
    <s v="Hollman Corredor"/>
    <s v="Coordinador GIT Gestión Financiera"/>
    <n v="6012220601"/>
    <s v="hollman.corredor@upme.gov.co"/>
    <n v="73668000"/>
    <m/>
    <m/>
    <m/>
    <m/>
    <m/>
    <m/>
    <m/>
    <m/>
    <m/>
    <m/>
    <m/>
    <m/>
    <m/>
    <m/>
    <m/>
    <m/>
    <m/>
    <m/>
    <n v="7436960"/>
    <m/>
    <n v="7436960"/>
    <m/>
    <n v="3718480"/>
    <m/>
    <m/>
    <n v="73668000"/>
    <n v="18592400"/>
    <n v="55075600"/>
    <n v="701600"/>
    <n v="55777200"/>
  </r>
  <r>
    <x v="1"/>
    <x v="8"/>
    <s v="N.A"/>
    <s v="Si"/>
    <s v="75 (30/12/2024)"/>
    <s v="161-56"/>
    <s v="N.A"/>
    <x v="26"/>
    <x v="37"/>
    <n v="80111620"/>
    <x v="41"/>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35622510"/>
    <n v="35622510"/>
    <s v="No"/>
    <s v="N/A"/>
    <s v="Hollman Corredor"/>
    <s v="Coordinador GIT Gestión Financiera"/>
    <n v="6012220601"/>
    <s v="hollman.corredor@upme.gov.co"/>
    <m/>
    <m/>
    <m/>
    <m/>
    <m/>
    <m/>
    <m/>
    <m/>
    <m/>
    <m/>
    <m/>
    <m/>
    <m/>
    <m/>
    <m/>
    <m/>
    <m/>
    <m/>
    <m/>
    <n v="3316740"/>
    <m/>
    <n v="3316740"/>
    <m/>
    <n v="4113480"/>
    <m/>
    <m/>
    <n v="0"/>
    <n v="10746960"/>
    <n v="-10746960"/>
    <n v="35622510"/>
    <n v="24875550"/>
  </r>
  <r>
    <x v="1"/>
    <x v="8"/>
    <s v="N.A"/>
    <s v="Si"/>
    <s v="75 (30/12/2024)"/>
    <s v="161-57"/>
    <s v="N.A"/>
    <x v="26"/>
    <x v="37"/>
    <s v="78102203;78102206"/>
    <x v="46"/>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n v="2500000"/>
    <m/>
    <n v="2500000"/>
    <m/>
    <n v="2500000"/>
    <m/>
    <m/>
    <n v="0"/>
    <n v="7500000"/>
    <n v="-7500000"/>
    <n v="30000000"/>
    <n v="22500000"/>
  </r>
  <r>
    <x v="1"/>
    <x v="8"/>
    <s v="N.A"/>
    <s v="Si"/>
    <s v="75 (30/12/2024)"/>
    <s v="161-58"/>
    <s v="N.A"/>
    <x v="26"/>
    <x v="37"/>
    <n v="80111620"/>
    <x v="41"/>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n v="3458000"/>
    <m/>
    <n v="3458000"/>
    <m/>
    <n v="6916000"/>
    <m/>
    <m/>
    <n v="0"/>
    <n v="13832000"/>
    <n v="-13832000"/>
    <n v="19019000"/>
    <n v="5187000"/>
  </r>
  <r>
    <x v="1"/>
    <x v="8"/>
    <s v="N.A"/>
    <s v="Si"/>
    <s v="75 (30/12/2024)"/>
    <s v="161-59"/>
    <s v="N.A"/>
    <x v="26"/>
    <x v="37"/>
    <n v="80111620"/>
    <x v="43"/>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45250000"/>
    <n v="45250000"/>
    <s v="No"/>
    <s v="N/A"/>
    <s v="Jessica Arias Gaviria"/>
    <s v="Subdirectora de Demanda"/>
    <n v="6012220601"/>
    <s v="jessica.arias@upme.gov.co"/>
    <m/>
    <m/>
    <m/>
    <m/>
    <m/>
    <m/>
    <m/>
    <m/>
    <m/>
    <m/>
    <m/>
    <m/>
    <m/>
    <m/>
    <m/>
    <m/>
    <m/>
    <m/>
    <m/>
    <n v="4525000"/>
    <m/>
    <n v="4525000"/>
    <m/>
    <n v="4525000"/>
    <m/>
    <m/>
    <n v="0"/>
    <n v="13575000"/>
    <n v="-13575000"/>
    <n v="45250000"/>
    <n v="31675000"/>
  </r>
  <r>
    <x v="1"/>
    <x v="8"/>
    <s v="N.A"/>
    <s v="Si"/>
    <s v="75 (30/12/2024)"/>
    <s v="161-60"/>
    <s v="N.A"/>
    <x v="26"/>
    <x v="37"/>
    <s v="N/A"/>
    <x v="44"/>
    <s v="Impuesto"/>
    <s v="161-60 4X1000"/>
    <s v="N.A"/>
    <s v="N.A"/>
    <s v="N.A"/>
    <s v="N.A"/>
    <s v="N/A"/>
    <s v="N/A"/>
    <s v="Propios - 20 - Ingresos corrientes"/>
    <n v="16984554"/>
    <n v="16984554"/>
    <s v="No"/>
    <s v="N/A"/>
    <s v="Jessica Arias Gaviria"/>
    <s v="Subdirectora de Demanda"/>
    <n v="6012220601"/>
    <s v="jessica.arias@upme.gov.co"/>
    <m/>
    <m/>
    <m/>
    <m/>
    <m/>
    <m/>
    <m/>
    <m/>
    <m/>
    <m/>
    <m/>
    <m/>
    <m/>
    <m/>
    <m/>
    <m/>
    <m/>
    <m/>
    <n v="1363831"/>
    <n v="1363831"/>
    <n v="1363831"/>
    <n v="1363831"/>
    <n v="2994117"/>
    <n v="2994117"/>
    <m/>
    <m/>
    <n v="5721779"/>
    <n v="5721779"/>
    <n v="0"/>
    <n v="11262775"/>
    <n v="1126277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5">
  <r>
    <x v="0"/>
    <x v="0"/>
    <s v="Transversal"/>
    <s v="Si"/>
    <n v="48"/>
    <s v="110-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s v="N/A"/>
    <x v="0"/>
    <s v="Planta temporal"/>
    <s v="110-1 Planta temporal"/>
    <s v="Septiembre"/>
    <s v="Septiembre"/>
    <s v="Septiembre"/>
    <n v="4"/>
    <s v="Meses"/>
    <s v="Contratación directa - Prestación de servicios profesionales"/>
    <s v="Propios - 20 - Ingresos corrientes"/>
    <n v="69215423"/>
    <n v="69215423"/>
    <s v="No"/>
    <s v="N/A"/>
    <s v="Liliana Castillo"/>
    <s v="Coordinadora GIT Gestión del Talento Humano"/>
    <n v="6012220601"/>
    <s v="liliana.castillo@upme.gov.co"/>
    <m/>
    <m/>
    <m/>
    <m/>
    <m/>
    <m/>
    <m/>
    <m/>
    <m/>
    <m/>
    <m/>
    <m/>
    <m/>
    <m/>
    <m/>
    <m/>
    <m/>
    <m/>
    <m/>
    <m/>
    <n v="16200000"/>
    <n v="16200000"/>
    <n v="53015423"/>
    <n v="53015423"/>
    <m/>
    <m/>
    <n v="69215423"/>
    <n v="69215423"/>
    <n v="0"/>
    <n v="0"/>
    <n v="0"/>
  </r>
  <r>
    <x v="0"/>
    <x v="0"/>
    <s v="Transversal"/>
    <s v="Si"/>
    <n v="5"/>
    <s v="110-2"/>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m/>
    <m/>
    <n v="78900000"/>
    <n v="78900000"/>
    <n v="0"/>
    <n v="0"/>
    <n v="0"/>
  </r>
  <r>
    <x v="0"/>
    <x v="0"/>
    <s v="Transversal"/>
    <s v="Si"/>
    <n v="5"/>
    <s v="110-3"/>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2624000"/>
    <m/>
    <n v="9171356"/>
    <m/>
    <m/>
    <m/>
    <m/>
    <n v="92068956"/>
    <n v="92068956"/>
    <n v="0"/>
    <n v="0"/>
    <n v="0"/>
  </r>
  <r>
    <x v="0"/>
    <x v="0"/>
    <s v="Transversal"/>
    <s v="Si"/>
    <n v="44"/>
    <s v="110-4"/>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m/>
    <m/>
    <n v="60832200"/>
    <n v="60832200"/>
    <n v="0"/>
    <n v="0"/>
    <n v="0"/>
  </r>
  <r>
    <x v="0"/>
    <x v="0"/>
    <s v="Transversal"/>
    <s v="Si"/>
    <n v="47"/>
    <s v="110-5"/>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31500"/>
    <x v="1"/>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m/>
    <m/>
    <n v="0"/>
    <n v="0"/>
    <n v="0"/>
    <n v="0"/>
    <n v="0"/>
  </r>
  <r>
    <x v="0"/>
    <x v="0"/>
    <s v="Transversal"/>
    <s v="Si"/>
    <n v="40"/>
    <s v="110-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m/>
    <m/>
    <n v="86765890"/>
    <n v="86765890"/>
    <n v="0"/>
    <n v="0"/>
    <n v="0"/>
  </r>
  <r>
    <x v="0"/>
    <x v="0"/>
    <s v="Transversal"/>
    <s v="Si"/>
    <n v="40"/>
    <s v="110-7"/>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m/>
    <m/>
    <n v="103500000"/>
    <n v="103500000"/>
    <n v="0"/>
    <n v="0"/>
    <n v="0"/>
  </r>
  <r>
    <x v="0"/>
    <x v="0"/>
    <s v="Transversal"/>
    <s v="Si"/>
    <n v="40"/>
    <s v="110-8"/>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m/>
    <m/>
    <n v="80733333"/>
    <n v="80733333"/>
    <n v="0"/>
    <n v="0"/>
    <n v="0"/>
  </r>
  <r>
    <x v="0"/>
    <x v="0"/>
    <s v="Transversal"/>
    <s v="Si"/>
    <s v="75 (30/12/2024)"/>
    <s v="110-9"/>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m/>
    <m/>
    <n v="5941291"/>
    <m/>
    <n v="6800000"/>
    <m/>
    <m/>
    <n v="44191291"/>
    <n v="44191291"/>
    <n v="0"/>
    <n v="0"/>
    <n v="0"/>
  </r>
  <r>
    <x v="0"/>
    <x v="0"/>
    <s v="Transversal"/>
    <s v="Si"/>
    <n v="32"/>
    <s v="110-10"/>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8500000"/>
    <m/>
    <n v="2558709"/>
    <m/>
    <m/>
    <m/>
    <m/>
    <n v="45058709"/>
    <n v="45058709"/>
    <n v="0"/>
    <n v="0"/>
    <n v="0"/>
  </r>
  <r>
    <x v="0"/>
    <x v="0"/>
    <s v="Transversal"/>
    <s v="Si"/>
    <n v="32"/>
    <s v="110-1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m/>
    <m/>
    <n v="126500000"/>
    <n v="126500000"/>
    <n v="0"/>
    <n v="0"/>
    <n v="0"/>
  </r>
  <r>
    <x v="0"/>
    <x v="0"/>
    <s v="Transversal"/>
    <s v="Si"/>
    <s v="75 (30/12/2024)"/>
    <s v="110-12"/>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m/>
    <m/>
    <n v="29398747"/>
    <n v="29398747"/>
    <n v="0"/>
    <n v="0"/>
    <n v="0"/>
  </r>
  <r>
    <x v="0"/>
    <x v="0"/>
    <s v="Transversal"/>
    <s v="Si"/>
    <s v="75 (30/12/2024)"/>
    <s v="110-13"/>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m/>
    <m/>
    <n v="33035471"/>
    <n v="33035471"/>
    <n v="0"/>
    <n v="0"/>
    <n v="0"/>
  </r>
  <r>
    <x v="0"/>
    <x v="0"/>
    <s v="Transversal"/>
    <s v="Si"/>
    <n v="32"/>
    <s v="110-14"/>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m/>
    <m/>
    <n v="0"/>
    <n v="0"/>
    <n v="0"/>
    <n v="0"/>
    <n v="0"/>
  </r>
  <r>
    <x v="0"/>
    <x v="0"/>
    <s v="Transversal"/>
    <s v="Si"/>
    <n v="6"/>
    <s v="110-15"/>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53778903"/>
    <m/>
    <n v="53778903"/>
    <m/>
    <n v="26889452"/>
    <m/>
    <m/>
    <n v="134447258"/>
    <n v="134447258"/>
    <n v="0"/>
    <n v="0"/>
    <n v="0"/>
  </r>
  <r>
    <x v="0"/>
    <x v="0"/>
    <s v="Transversal"/>
    <s v="Si"/>
    <n v="32"/>
    <s v="110-16"/>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m/>
    <m/>
    <n v="22692000"/>
    <n v="22692000"/>
    <n v="0"/>
    <n v="0"/>
    <n v="0"/>
  </r>
  <r>
    <x v="0"/>
    <x v="0"/>
    <s v="Transversal"/>
    <s v="Si"/>
    <s v="75 (30/12/2024)"/>
    <s v="110-17"/>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m/>
    <m/>
    <n v="29988500"/>
    <n v="29988500"/>
    <n v="0"/>
    <n v="0"/>
    <n v="0"/>
  </r>
  <r>
    <x v="0"/>
    <x v="0"/>
    <s v="Transversal"/>
    <s v="Si"/>
    <n v="5"/>
    <s v="110-18"/>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m/>
    <m/>
    <n v="2611044"/>
    <m/>
    <m/>
    <m/>
    <m/>
    <n v="2611044"/>
    <n v="2611044"/>
    <n v="0"/>
    <n v="0"/>
    <n v="0"/>
  </r>
  <r>
    <x v="0"/>
    <x v="0"/>
    <s v="Transversal"/>
    <s v="Si"/>
    <n v="47"/>
    <s v="110-19"/>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43233600"/>
    <x v="1"/>
    <s v="Adquisición de bienes y/o servicios (otros)"/>
    <s v="110-19 Contratar el suministro de una solución tecnológica integral en la modalidad de software como servicio (SaaS), que permita la gestión unificada de los procesos de nómina, recursos humanos, administración de contratistas, y el control de bienes y se"/>
    <s v="Julio"/>
    <s v="Agosto"/>
    <s v="Septiembre"/>
    <n v="12"/>
    <s v="Meses"/>
    <s v="Seléccion abreviada - acuerdo marco"/>
    <s v="Propios - 20 - Ingresos corrientes"/>
    <n v="20000000"/>
    <n v="20000000"/>
    <s v="No"/>
    <s v="N/A"/>
    <s v="Liliana Castillo"/>
    <s v="Coordinadora GIT Gestión del Talento Humano"/>
    <n v="6012220601"/>
    <s v="liliana.castillo@upme.gov.co"/>
    <m/>
    <m/>
    <m/>
    <m/>
    <m/>
    <m/>
    <m/>
    <m/>
    <m/>
    <m/>
    <m/>
    <m/>
    <m/>
    <m/>
    <m/>
    <m/>
    <m/>
    <m/>
    <n v="20000000"/>
    <m/>
    <m/>
    <n v="20000000"/>
    <m/>
    <m/>
    <m/>
    <m/>
    <n v="20000000"/>
    <n v="20000000"/>
    <n v="0"/>
    <n v="0"/>
    <n v="0"/>
  </r>
  <r>
    <x v="0"/>
    <x v="0"/>
    <s v="Transversal"/>
    <s v="Si"/>
    <n v="15"/>
    <s v="110-20"/>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43233501"/>
    <x v="1"/>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m/>
    <m/>
    <n v="8830541"/>
    <n v="8830541"/>
    <n v="0"/>
    <n v="0"/>
    <n v="0"/>
  </r>
  <r>
    <x v="0"/>
    <x v="0"/>
    <s v="Transversal"/>
    <s v="Si"/>
    <n v="16"/>
    <s v="110-21"/>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m/>
    <m/>
    <n v="9764650"/>
    <n v="9764650"/>
    <n v="0"/>
    <n v="0"/>
    <n v="0"/>
  </r>
  <r>
    <x v="0"/>
    <x v="0"/>
    <s v="Transversal"/>
    <s v="Si"/>
    <n v="47"/>
    <s v="110-22"/>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n v="7272727"/>
    <m/>
    <n v="14060606"/>
    <m/>
    <m/>
    <n v="32727272"/>
    <n v="32727272"/>
    <n v="0"/>
    <n v="0"/>
    <n v="0"/>
  </r>
  <r>
    <x v="0"/>
    <x v="0"/>
    <s v="Transversal"/>
    <s v="Si"/>
    <n v="44"/>
    <s v="110-23"/>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m/>
    <m/>
    <n v="16363638"/>
    <n v="16363638"/>
    <n v="0"/>
    <n v="0"/>
    <n v="0"/>
  </r>
  <r>
    <x v="0"/>
    <x v="0"/>
    <s v="Transversal"/>
    <s v="Si"/>
    <n v="37"/>
    <s v="110-24"/>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n v="6000000"/>
    <m/>
    <n v="6000000"/>
    <m/>
    <n v="5720236"/>
    <m/>
    <m/>
    <n v="17720236"/>
    <n v="17720236"/>
    <n v="0"/>
    <n v="0"/>
    <n v="0"/>
  </r>
  <r>
    <x v="0"/>
    <x v="0"/>
    <s v="Transversal"/>
    <s v="Si"/>
    <n v="44"/>
    <s v="110-25"/>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8279764"/>
    <n v="8279764"/>
    <s v="No"/>
    <s v="N/A"/>
    <s v="Angela Lobo"/>
    <s v="Coordinadora GIT Contractual "/>
    <n v="6012220601"/>
    <s v="angela.lobo@upme.gov.co"/>
    <m/>
    <m/>
    <m/>
    <m/>
    <m/>
    <m/>
    <m/>
    <m/>
    <m/>
    <m/>
    <m/>
    <m/>
    <m/>
    <m/>
    <n v="8279764"/>
    <m/>
    <n v="-1000000"/>
    <m/>
    <m/>
    <m/>
    <n v="1000000"/>
    <m/>
    <m/>
    <n v="8279764"/>
    <m/>
    <m/>
    <n v="8279764"/>
    <n v="8279764"/>
    <n v="0"/>
    <n v="0"/>
    <n v="0"/>
  </r>
  <r>
    <x v="0"/>
    <x v="0"/>
    <s v="Transversal"/>
    <s v="Si"/>
    <n v="44"/>
    <s v="110-2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4500000"/>
    <m/>
    <n v="4500000"/>
    <m/>
    <n v="12667800"/>
    <m/>
    <m/>
    <n v="21667800"/>
    <n v="21667800"/>
    <n v="0"/>
    <n v="0"/>
    <n v="0"/>
  </r>
  <r>
    <x v="0"/>
    <x v="0"/>
    <s v="Transversal"/>
    <s v="Si"/>
    <n v="39"/>
    <s v="110-27"/>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m/>
    <m/>
    <n v="15150000"/>
    <n v="15150000"/>
    <n v="0"/>
    <n v="0"/>
    <n v="0"/>
  </r>
  <r>
    <x v="0"/>
    <x v="0"/>
    <s v="Transversal"/>
    <s v="Si"/>
    <n v="44"/>
    <s v="110-28"/>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m/>
    <m/>
    <n v="9767800"/>
    <n v="9767800"/>
    <n v="0"/>
    <n v="0"/>
    <n v="0"/>
  </r>
  <r>
    <x v="0"/>
    <x v="0"/>
    <s v="Transversal"/>
    <s v="Si"/>
    <n v="47"/>
    <s v="110-29"/>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10088790"/>
    <n v="10088790"/>
    <s v="No"/>
    <s v="N/A"/>
    <s v="Katherin Perez"/>
    <s v="Coordinadora GITTH "/>
    <n v="6012220601"/>
    <s v="katherine.perez@upme.gov.co"/>
    <m/>
    <m/>
    <m/>
    <m/>
    <m/>
    <m/>
    <m/>
    <m/>
    <m/>
    <m/>
    <m/>
    <m/>
    <m/>
    <m/>
    <m/>
    <m/>
    <m/>
    <m/>
    <n v="10088790"/>
    <m/>
    <m/>
    <n v="3088790"/>
    <m/>
    <n v="7000000"/>
    <m/>
    <m/>
    <n v="10088790"/>
    <n v="10088790"/>
    <n v="0"/>
    <n v="0"/>
    <n v="0"/>
  </r>
  <r>
    <x v="0"/>
    <x v="0"/>
    <s v="Transversal"/>
    <s v="Si"/>
    <n v="48"/>
    <s v="110-30"/>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18000000"/>
    <n v="18000000"/>
    <s v="No"/>
    <s v="N/A"/>
    <s v="Carolina Barrera"/>
    <s v="Coordinadora GITTH "/>
    <n v="6012220601"/>
    <s v="yenny.barrera@upme.gov.co"/>
    <m/>
    <m/>
    <m/>
    <m/>
    <m/>
    <m/>
    <m/>
    <m/>
    <m/>
    <m/>
    <m/>
    <m/>
    <m/>
    <m/>
    <m/>
    <m/>
    <m/>
    <m/>
    <n v="18000000"/>
    <m/>
    <m/>
    <n v="3600000"/>
    <m/>
    <n v="14400000"/>
    <m/>
    <m/>
    <n v="18000000"/>
    <n v="18000000"/>
    <n v="0"/>
    <n v="0"/>
    <n v="0"/>
  </r>
  <r>
    <x v="0"/>
    <x v="0"/>
    <s v="Transversal"/>
    <s v="Si"/>
    <n v="48"/>
    <s v="110-3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1 Prestar servicios de apoyo a la gestión de los procesos y procedimientos de competencia de la Oficina Asesora Jurídica y la Secretaría general de la UPME, , en el marco del proyecto de inversión &quot;Fortalecimiento de la percepción ciudadana frente a "/>
    <s v="Octubre"/>
    <s v="Octubre"/>
    <s v="Octubre"/>
    <n v="2.5"/>
    <s v="Meses"/>
    <s v="Contratación directa- prestación de servicios profesionales "/>
    <s v="Propios - 20 - Ingresos corrientes"/>
    <n v="10000000"/>
    <n v="10000000"/>
    <s v="No"/>
    <s v="N/A"/>
    <s v="Carolina Barrera"/>
    <s v="Coordinadora GITTH "/>
    <n v="6012220601"/>
    <s v="yenny.barrera@upme.gov.co"/>
    <m/>
    <m/>
    <m/>
    <m/>
    <m/>
    <m/>
    <m/>
    <m/>
    <m/>
    <m/>
    <m/>
    <m/>
    <m/>
    <m/>
    <m/>
    <m/>
    <m/>
    <m/>
    <n v="10000000"/>
    <m/>
    <m/>
    <n v="2000000"/>
    <m/>
    <n v="8000000"/>
    <m/>
    <m/>
    <n v="10000000"/>
    <n v="10000000"/>
    <n v="0"/>
    <n v="0"/>
    <n v="0"/>
  </r>
  <r>
    <x v="0"/>
    <x v="1"/>
    <s v="Transversal"/>
    <s v="Si"/>
    <n v="40"/>
    <s v="101-1"/>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m/>
    <n v="11000000"/>
    <m/>
    <n v="11000000"/>
    <n v="1100000"/>
    <n v="22000000"/>
    <m/>
    <m/>
    <n v="127600000"/>
    <n v="127600000"/>
    <n v="0"/>
    <n v="0"/>
    <n v="0"/>
  </r>
  <r>
    <x v="0"/>
    <x v="1"/>
    <s v="Transversal"/>
    <s v="Si"/>
    <s v="75 (30/12/2024)"/>
    <s v="101-2"/>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m/>
    <m/>
    <n v="39754000"/>
    <n v="39754000"/>
    <n v="0"/>
    <n v="0"/>
    <n v="0"/>
  </r>
  <r>
    <x v="0"/>
    <x v="1"/>
    <s v="Transversal"/>
    <s v="Si"/>
    <n v="40"/>
    <s v="101-3"/>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911504"/>
    <n v="10911504"/>
    <s v="No"/>
    <s v="N/A"/>
    <s v="Diego Armando Vanegas Páez"/>
    <s v="Jefe de Oficina Asesora"/>
    <n v="6012220601"/>
    <s v="diego.vanegas@upme.gov.co"/>
    <m/>
    <m/>
    <n v="10865541"/>
    <m/>
    <m/>
    <m/>
    <m/>
    <m/>
    <m/>
    <m/>
    <m/>
    <m/>
    <m/>
    <m/>
    <m/>
    <n v="2865541"/>
    <m/>
    <n v="6666667"/>
    <m/>
    <n v="1333333"/>
    <m/>
    <n v="0"/>
    <m/>
    <m/>
    <n v="45963"/>
    <n v="45963"/>
    <n v="10911504"/>
    <n v="10911504"/>
    <n v="0"/>
    <n v="0"/>
    <n v="0"/>
  </r>
  <r>
    <x v="0"/>
    <x v="1"/>
    <s v="Transversal"/>
    <s v="Si"/>
    <n v="41"/>
    <s v="101-4"/>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m/>
    <m/>
    <n v="45600000"/>
    <n v="45600000"/>
    <n v="0"/>
    <n v="0"/>
    <n v="0"/>
  </r>
  <r>
    <x v="0"/>
    <x v="1"/>
    <s v="Transversal"/>
    <s v="Si"/>
    <s v="75 (30/12/2024)"/>
    <s v="101-5"/>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n v="2285039"/>
    <m/>
    <n v="4738699"/>
    <m/>
    <m/>
    <m/>
    <m/>
    <n v="7918450"/>
    <n v="7918450"/>
    <n v="0"/>
    <n v="0"/>
    <n v="0"/>
  </r>
  <r>
    <x v="0"/>
    <x v="1"/>
    <s v="Transversal"/>
    <s v="Si"/>
    <s v="75 (30/12/2024)"/>
    <s v="101-6"/>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m/>
    <m/>
    <n v="7918450"/>
    <n v="7918450"/>
    <n v="0"/>
    <n v="0"/>
    <n v="0"/>
  </r>
  <r>
    <x v="0"/>
    <x v="1"/>
    <s v="Transversal"/>
    <s v="Si"/>
    <n v="13"/>
    <s v="101-7"/>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m/>
    <m/>
    <n v="10000000"/>
    <n v="10000000"/>
    <n v="0"/>
    <n v="0"/>
    <n v="0"/>
  </r>
  <r>
    <x v="0"/>
    <x v="1"/>
    <s v="Transversal"/>
    <s v="Si"/>
    <n v="13"/>
    <s v="101-8"/>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m/>
    <m/>
    <n v="10000000"/>
    <n v="10000000"/>
    <n v="0"/>
    <n v="0"/>
    <n v="0"/>
  </r>
  <r>
    <x v="0"/>
    <x v="1"/>
    <s v="Transversal"/>
    <s v="Si"/>
    <n v="40"/>
    <s v="101-9"/>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5942694"/>
    <n v="15942694"/>
    <s v="No"/>
    <s v="N/A"/>
    <s v="Diego Armando Vanegas Páez"/>
    <s v="Jefe de Oficina Asesora"/>
    <n v="6012220601"/>
    <s v="diego.vanegas@upme.gov.co"/>
    <m/>
    <m/>
    <m/>
    <m/>
    <m/>
    <m/>
    <m/>
    <m/>
    <m/>
    <m/>
    <m/>
    <m/>
    <m/>
    <m/>
    <m/>
    <m/>
    <m/>
    <m/>
    <n v="15942694"/>
    <m/>
    <m/>
    <m/>
    <m/>
    <n v="15942694"/>
    <m/>
    <m/>
    <n v="15942694"/>
    <n v="15942694"/>
    <n v="0"/>
    <n v="0"/>
    <n v="0"/>
  </r>
  <r>
    <x v="0"/>
    <x v="1"/>
    <s v="Transversal"/>
    <s v="Si"/>
    <n v="41"/>
    <s v="101-10"/>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8000000"/>
    <n v="28000000"/>
    <s v="No"/>
    <s v="N/A"/>
    <s v="Diego Armando Vanegas Páez"/>
    <s v="Jefe de Oficina Asesora"/>
    <n v="6012220601"/>
    <s v="diego.vanegas@upme.gov.co"/>
    <m/>
    <m/>
    <m/>
    <m/>
    <m/>
    <m/>
    <m/>
    <m/>
    <m/>
    <m/>
    <m/>
    <m/>
    <m/>
    <m/>
    <m/>
    <m/>
    <n v="28000000"/>
    <m/>
    <m/>
    <n v="4500000"/>
    <m/>
    <n v="9000000"/>
    <m/>
    <n v="14500000"/>
    <m/>
    <m/>
    <n v="28000000"/>
    <n v="28000000"/>
    <n v="0"/>
    <n v="0"/>
    <n v="0"/>
  </r>
  <r>
    <x v="0"/>
    <x v="1"/>
    <s v="Transversal"/>
    <s v="Si"/>
    <n v="41"/>
    <s v="101-11"/>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n v="4000000"/>
    <m/>
    <n v="8000000"/>
    <m/>
    <n v="6525636"/>
    <m/>
    <m/>
    <n v="18525636"/>
    <n v="18525636"/>
    <n v="0"/>
    <n v="0"/>
    <n v="0"/>
  </r>
  <r>
    <x v="0"/>
    <x v="1"/>
    <s v="Transversal"/>
    <s v="Si"/>
    <n v="41"/>
    <s v="101-12"/>
    <s v="1 - Mejorar el direccionamiento estratégico y la gestión de los procesos frente a la ciudadanía."/>
    <x v="2"/>
    <s v="Realizar la programación y seguimiento a la ejecución de las políticas, estrategias, los planes y proyectos institucionales"/>
    <n v="43233701"/>
    <x v="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n v="13142286"/>
    <m/>
    <m/>
    <n v="13142286"/>
    <m/>
    <m/>
    <n v="13142286"/>
    <n v="13142286"/>
    <n v="0"/>
    <n v="0"/>
    <n v="0"/>
  </r>
  <r>
    <x v="0"/>
    <x v="1"/>
    <s v="Transversal"/>
    <s v="Si"/>
    <n v="40"/>
    <s v="101-13"/>
    <s v="1 - Mejorar el direccionamiento estratégico y la gestión de los procesos frente a la ciudadanía."/>
    <x v="3"/>
    <s v="Planificar y coordinar la apropiación e implementación del MIPG"/>
    <n v="80111620"/>
    <x v="3"/>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m/>
    <n v="10000000"/>
    <m/>
    <n v="10000000"/>
    <n v="2000000"/>
    <n v="20000000"/>
    <m/>
    <m/>
    <n v="117000000"/>
    <n v="117000000"/>
    <n v="0"/>
    <n v="0"/>
    <n v="0"/>
  </r>
  <r>
    <x v="0"/>
    <x v="1"/>
    <s v="Transversal"/>
    <s v="Si"/>
    <n v="40"/>
    <s v="101-14"/>
    <s v="1 - Mejorar el direccionamiento estratégico y la gestión de los procesos frente a la ciudadanía."/>
    <x v="3"/>
    <s v="Planificar y coordinar la apropiación e implementación del MIPG"/>
    <n v="43233701"/>
    <x v="3"/>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9647575"/>
    <n v="104789861"/>
    <m/>
    <n v="4857714"/>
    <m/>
    <m/>
    <n v="109647575"/>
    <n v="109647575"/>
    <n v="0"/>
    <n v="0"/>
    <n v="0"/>
  </r>
  <r>
    <x v="0"/>
    <x v="1"/>
    <s v="Transversal"/>
    <s v="Si"/>
    <n v="41"/>
    <s v="101-15"/>
    <s v="1 - Mejorar el direccionamiento estratégico y la gestión de los procesos frente a la ciudadanía."/>
    <x v="3"/>
    <s v="Planificar y coordinar la apropiación e implementación del MIPG"/>
    <n v="84111600"/>
    <x v="3"/>
    <s v="Prestación de servicios profesionales y/o de apoyo a la gestión"/>
    <s v="101-15 Prestar los servicios para realizar ejercicio de pre auditoría de certificación y la auditoría de certificación de los sistemas de gestión implementados en la UPME."/>
    <s v="Agosto"/>
    <s v="Agosto"/>
    <s v="Noviembre"/>
    <n v="3"/>
    <s v="Meses"/>
    <s v="Contratación directa - Prestación de servicios profesionales"/>
    <s v="Propios - 20 - Ingresos corrientes"/>
    <n v="27319153"/>
    <n v="27319153"/>
    <s v="No"/>
    <s v="N/A"/>
    <s v="Diego Armando Vanegas Páez"/>
    <s v="Jefe de Oficina Asesora"/>
    <n v="6012220601"/>
    <s v="diego.vanegas@upme.gov.co"/>
    <m/>
    <m/>
    <m/>
    <m/>
    <m/>
    <m/>
    <m/>
    <m/>
    <m/>
    <m/>
    <m/>
    <m/>
    <m/>
    <m/>
    <m/>
    <m/>
    <m/>
    <m/>
    <m/>
    <m/>
    <n v="27319153"/>
    <m/>
    <m/>
    <n v="27319153"/>
    <m/>
    <m/>
    <n v="27319153"/>
    <n v="27319153"/>
    <n v="0"/>
    <n v="0"/>
    <n v="0"/>
  </r>
  <r>
    <x v="0"/>
    <x v="1"/>
    <s v="Transversal"/>
    <s v="Si"/>
    <n v="15"/>
    <s v="101-16"/>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m/>
    <m/>
    <n v="58116667"/>
    <n v="58116667"/>
    <n v="0"/>
    <n v="0"/>
    <n v="0"/>
  </r>
  <r>
    <x v="0"/>
    <x v="1"/>
    <s v="Transversal"/>
    <s v="Si"/>
    <n v="40"/>
    <s v="101-17"/>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m/>
    <n v="9000000"/>
    <n v="547575"/>
    <n v="17647575"/>
    <m/>
    <m/>
    <n v="99547575"/>
    <n v="99547575"/>
    <n v="0"/>
    <n v="0"/>
    <n v="0"/>
  </r>
  <r>
    <x v="0"/>
    <x v="1"/>
    <s v="Transversal"/>
    <s v="Si"/>
    <n v="4"/>
    <s v="101-18"/>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4509"/>
    <n v="30664509"/>
    <s v="No"/>
    <s v="N/A"/>
    <s v="Diego Armando Vanegas Páez"/>
    <s v="Jefe de Oficina Asesora"/>
    <n v="6012220601"/>
    <s v="diego.vanegas@upme.gov.co"/>
    <m/>
    <m/>
    <n v="15145959"/>
    <m/>
    <m/>
    <m/>
    <m/>
    <m/>
    <m/>
    <m/>
    <m/>
    <n v="678167"/>
    <m/>
    <n v="8000000"/>
    <m/>
    <n v="5134459"/>
    <n v="15516667"/>
    <n v="1333333"/>
    <m/>
    <n v="6666667"/>
    <m/>
    <m/>
    <m/>
    <n v="8850000"/>
    <n v="1883"/>
    <n v="1883"/>
    <n v="30664509"/>
    <n v="30664509"/>
    <n v="0"/>
    <n v="0"/>
    <n v="0"/>
  </r>
  <r>
    <x v="0"/>
    <x v="1"/>
    <s v="Transversal"/>
    <s v="Si"/>
    <n v="12"/>
    <s v="101-19"/>
    <s v="2 - Fortalecer la gestión de conocimiento para la planeación minero energética."/>
    <x v="4"/>
    <s v="Realizar la implementación de un esquema organizativo y de gobernabilidad para la gestión del conocimiento"/>
    <s v="80101511;80111501;80111504"/>
    <x v="0"/>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509986"/>
    <n v="192509986"/>
    <s v="No"/>
    <s v="N/A"/>
    <s v="Diego Armando Vanegas Páez"/>
    <s v="Jefe de Oficina Asesora"/>
    <n v="6012220601"/>
    <s v="diego.vanegas@upme.gov.co"/>
    <m/>
    <m/>
    <m/>
    <m/>
    <m/>
    <m/>
    <n v="192000000"/>
    <m/>
    <m/>
    <m/>
    <m/>
    <m/>
    <m/>
    <m/>
    <m/>
    <n v="48000000"/>
    <m/>
    <m/>
    <m/>
    <n v="48127497"/>
    <m/>
    <n v="48127497"/>
    <m/>
    <n v="47745006"/>
    <n v="509986"/>
    <n v="509986"/>
    <n v="192509986"/>
    <n v="192509986"/>
    <n v="0"/>
    <n v="0"/>
    <n v="0"/>
  </r>
  <r>
    <x v="0"/>
    <x v="1"/>
    <s v="Transversal"/>
    <s v="Si"/>
    <n v="15"/>
    <s v="101-20"/>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m/>
    <m/>
    <n v="1228760"/>
    <n v="1228760"/>
    <n v="0"/>
    <n v="0"/>
    <n v="0"/>
  </r>
  <r>
    <x v="0"/>
    <x v="1"/>
    <s v="Transversal"/>
    <s v="Si"/>
    <n v="40"/>
    <s v="101-21"/>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m/>
    <m/>
    <n v="9569050"/>
    <n v="9569050"/>
    <n v="0"/>
    <n v="0"/>
    <n v="0"/>
  </r>
  <r>
    <x v="0"/>
    <x v="1"/>
    <s v="Transversal"/>
    <s v="Si"/>
    <n v="15"/>
    <s v="101-22"/>
    <s v="1 - Mejorar el direccionamiento estratégico y la gestión de los procesos frente a la ciudadanía."/>
    <x v="2"/>
    <s v="Realizar la programación y seguimiento a la ejecución de las políticas, estrategias, los planes y proyectos institucionales"/>
    <n v="43233501"/>
    <x v="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m/>
    <m/>
    <n v="4351494"/>
    <m/>
    <m/>
    <n v="4351494"/>
    <m/>
    <m/>
    <n v="4351494"/>
    <n v="4351494"/>
    <n v="0"/>
    <n v="0"/>
    <n v="0"/>
  </r>
  <r>
    <x v="0"/>
    <x v="1"/>
    <s v="Transversal"/>
    <s v="Si"/>
    <n v="15"/>
    <s v="101-23"/>
    <s v="1 - Mejorar el direccionamiento estratégico y la gestión de los procesos frente a la ciudadanía."/>
    <x v="3"/>
    <s v="Realizar acciones que faciliten la articulación de los instrumentos de planeación, de cara a la mejora de los productos y servicios prestados a la ciudadanía"/>
    <n v="43233501"/>
    <x v="3"/>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m/>
    <m/>
    <n v="3019398"/>
    <m/>
    <m/>
    <n v="3019398"/>
    <m/>
    <m/>
    <n v="3019398"/>
    <n v="3019398"/>
    <n v="0"/>
    <n v="0"/>
    <n v="0"/>
  </r>
  <r>
    <x v="0"/>
    <x v="1"/>
    <s v="Transversal"/>
    <s v="Si"/>
    <n v="41"/>
    <s v="101-24"/>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m/>
    <m/>
    <n v="32000000"/>
    <n v="32000000"/>
    <n v="0"/>
    <n v="0"/>
    <n v="0"/>
  </r>
  <r>
    <x v="0"/>
    <x v="1"/>
    <s v="Transversal"/>
    <s v="Si"/>
    <n v="40"/>
    <s v="101-25"/>
    <s v="1 - Mejorar el direccionamiento estratégico y la gestión de los procesos frente a la ciudadanía."/>
    <x v="3"/>
    <s v="Planificar y coordinar la apropiación e implementación del MIPG"/>
    <n v="80111620"/>
    <x v="3"/>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m/>
    <m/>
    <m/>
    <m/>
    <n v="352425"/>
    <n v="352425"/>
    <m/>
    <m/>
    <n v="352425"/>
    <n v="352425"/>
    <n v="0"/>
    <n v="0"/>
    <n v="0"/>
  </r>
  <r>
    <x v="0"/>
    <x v="1"/>
    <s v="Transversal"/>
    <s v="Si"/>
    <n v="41"/>
    <s v="101-26"/>
    <s v="1 - Mejorar el direccionamiento estratégico y la gestión de los procesos frente a la ciudadanía."/>
    <x v="3"/>
    <s v="Planificar y coordinar la apropiación e implementación del MIPG"/>
    <n v="80111620"/>
    <x v="3"/>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9474364"/>
    <n v="9474364"/>
    <s v="No"/>
    <s v="N/A"/>
    <s v="Verónica Tabares Muñoz"/>
    <s v="Jefe de Oficina Asesora"/>
    <n v="6012220601"/>
    <s v="veronica.tabares@upme.gov.co"/>
    <m/>
    <m/>
    <m/>
    <m/>
    <m/>
    <m/>
    <m/>
    <m/>
    <m/>
    <m/>
    <m/>
    <m/>
    <m/>
    <m/>
    <m/>
    <m/>
    <n v="9474364"/>
    <m/>
    <m/>
    <m/>
    <m/>
    <m/>
    <m/>
    <n v="9474364"/>
    <m/>
    <m/>
    <n v="9474364"/>
    <n v="9474364"/>
    <n v="0"/>
    <n v="0"/>
    <n v="0"/>
  </r>
  <r>
    <x v="0"/>
    <x v="1"/>
    <s v="Transversal"/>
    <s v="Si"/>
    <n v="41"/>
    <s v="101-27"/>
    <s v="1 - Mejorar el direccionamiento estratégico y la gestión de los procesos frente a la ciudadanía."/>
    <x v="3"/>
    <s v="Planificar y coordinar la apropiación e implementación del MIPG"/>
    <n v="80111620"/>
    <x v="3"/>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m/>
    <m/>
    <m/>
    <m/>
    <n v="3500000"/>
    <m/>
    <m/>
    <n v="3500000"/>
    <n v="3500000"/>
    <n v="0"/>
    <n v="0"/>
    <n v="0"/>
  </r>
  <r>
    <x v="0"/>
    <x v="2"/>
    <s v="Fondos"/>
    <s v="Si"/>
    <n v="47"/>
    <s v="180-1"/>
    <s v="1 - Mejorar la capacidad de los interesados en formular proyectos de inversión en el sector energético."/>
    <x v="5"/>
    <s v="Capacitar interesados en la presentación de proyectos de inversión"/>
    <s v="N/A"/>
    <x v="4"/>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27952995"/>
    <n v="27952995"/>
    <s v="No"/>
    <s v="N/A"/>
    <s v="Maximiliano Bueno López"/>
    <s v="Jefe Oficina Gestión de Proyectos de Fondos"/>
    <n v="6012220601"/>
    <s v="maximilianobueno@upme.gov.co"/>
    <m/>
    <m/>
    <n v="1774730"/>
    <n v="1774730"/>
    <m/>
    <m/>
    <n v="704838"/>
    <n v="704838"/>
    <n v="826125"/>
    <n v="826125"/>
    <m/>
    <m/>
    <n v="3211135"/>
    <n v="3211135"/>
    <n v="351429"/>
    <m/>
    <m/>
    <n v="351429"/>
    <n v="3000000"/>
    <n v="3000000"/>
    <n v="7000000"/>
    <n v="7000000"/>
    <n v="7084738"/>
    <n v="7084738"/>
    <n v="4000000"/>
    <n v="4000000"/>
    <n v="27952995"/>
    <n v="27952995"/>
    <n v="0"/>
    <n v="0"/>
    <n v="0"/>
  </r>
  <r>
    <x v="0"/>
    <x v="2"/>
    <s v="Fondos"/>
    <s v="Si"/>
    <n v="47"/>
    <s v="180-2"/>
    <s v="1 - Mejorar la capacidad de los interesados en formular proyectos de inversión en el sector energético."/>
    <x v="5"/>
    <s v="Capacitar organizaciones y usuarios en general en las regiones"/>
    <n v="80141607"/>
    <x v="4"/>
    <s v="Operador logístico"/>
    <s v="180-2 Prestación de los servicios de apoyo logístico para el desarrollo de la estrategia de comunicación y participación con actores nacionales y territoriales, así como para otros espacios interinstitucionales en el marco de la misionalidad de la entidad"/>
    <s v="Septiembre"/>
    <s v="Septiembre"/>
    <s v="Octubre"/>
    <n v="2"/>
    <s v="Meses"/>
    <s v="Contratación directa"/>
    <s v="Propios - 20 - Ingresos corrientes"/>
    <n v="7952995"/>
    <n v="7952995"/>
    <s v="No"/>
    <s v="N/A"/>
    <s v="Maximiliano Bueno López"/>
    <s v="Jefe Oficina Gestión de Proyectos de Fondos"/>
    <n v="6012220601"/>
    <s v="maximiliano.bueno@upme.gov.co"/>
    <m/>
    <m/>
    <m/>
    <m/>
    <m/>
    <m/>
    <m/>
    <m/>
    <m/>
    <m/>
    <m/>
    <m/>
    <m/>
    <m/>
    <m/>
    <m/>
    <m/>
    <m/>
    <n v="7952995"/>
    <m/>
    <m/>
    <n v="7952995"/>
    <m/>
    <m/>
    <m/>
    <m/>
    <n v="7952995"/>
    <n v="7952995"/>
    <n v="0"/>
    <n v="0"/>
    <n v="0"/>
  </r>
  <r>
    <x v="0"/>
    <x v="2"/>
    <s v="Fondos"/>
    <s v="Si"/>
    <s v="75 (30/12/2024)"/>
    <s v="180-3"/>
    <s v="1 - Mejorar la capacidad de los interesados en formular proyectos de inversión en el sector energético."/>
    <x v="6"/>
    <s v="Documento con la descripción de procesos, métodos y herramientas"/>
    <n v="80111620"/>
    <x v="5"/>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r>
  <r>
    <x v="0"/>
    <x v="2"/>
    <s v="Fondos"/>
    <s v="Si"/>
    <s v="75 (30/12/2024)"/>
    <s v="180-4"/>
    <s v="1 - Mejorar la capacidad de los interesados en formular proyectos de inversión en el sector energético."/>
    <x v="6"/>
    <s v="Documento con la descripción de procesos, métodos y herramientas"/>
    <n v="80111620"/>
    <x v="5"/>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r>
  <r>
    <x v="0"/>
    <x v="2"/>
    <s v="Fondos"/>
    <s v="Si"/>
    <n v="32"/>
    <s v="180-5"/>
    <s v="1 - Mejorar la capacidad de los interesados en formular proyectos de inversión en el sector energético."/>
    <x v="6"/>
    <s v="Documento con la descripción de procesos, métodos y herramientas"/>
    <n v="81101516"/>
    <x v="5"/>
    <s v="Consultoría"/>
    <s v="180-5 Contratar consultoría para elaborar un módulo para un curso virtual de socialización y capacitación sobre los fondos de apoyo financiero del MME."/>
    <s v="Abril"/>
    <s v="Abril"/>
    <s v="Julio"/>
    <n v="5"/>
    <s v="Meses"/>
    <s v="Contratación régimen especial (con ofertas)  - Régimen especial"/>
    <s v="Propios - 20 - Ingresos corrientes"/>
    <n v="3051953"/>
    <n v="3051953"/>
    <s v="No"/>
    <s v="N/A"/>
    <s v="Maximiliano Bueno López"/>
    <s v="Jefe Oficina Gestión de Proyectos de Fondos"/>
    <n v="6012220601"/>
    <s v="maximilianobueno@upme.gov.co"/>
    <m/>
    <m/>
    <m/>
    <m/>
    <m/>
    <m/>
    <m/>
    <m/>
    <m/>
    <m/>
    <m/>
    <m/>
    <m/>
    <m/>
    <m/>
    <m/>
    <m/>
    <m/>
    <m/>
    <m/>
    <n v="3051953"/>
    <m/>
    <m/>
    <n v="3051953"/>
    <m/>
    <m/>
    <n v="3051953"/>
    <n v="3051953"/>
    <n v="0"/>
    <n v="0"/>
    <n v="0"/>
  </r>
  <r>
    <x v="0"/>
    <x v="2"/>
    <s v="Fondos"/>
    <s v="Si"/>
    <n v="44"/>
    <s v="180-6"/>
    <s v="1 - Mejorar la capacidad de los interesados en formular proyectos de inversión en el sector energético."/>
    <x v="6"/>
    <s v="Documento con los resultados de las validaciones"/>
    <n v="80111620"/>
    <x v="5"/>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12681900"/>
    <n v="12681900"/>
    <s v="No"/>
    <s v="N/A"/>
    <s v="Maximiliano Bueno López"/>
    <s v="Jefe Oficina Gestión de Proyectos de Fondos"/>
    <n v="6012220601"/>
    <s v="maximilianobueno@upme.gov.co"/>
    <m/>
    <m/>
    <m/>
    <m/>
    <m/>
    <m/>
    <m/>
    <m/>
    <m/>
    <m/>
    <m/>
    <m/>
    <m/>
    <m/>
    <m/>
    <m/>
    <m/>
    <m/>
    <n v="12681900"/>
    <m/>
    <m/>
    <n v="4227300"/>
    <m/>
    <n v="8454600"/>
    <m/>
    <m/>
    <n v="12681900"/>
    <n v="12681900"/>
    <n v="0"/>
    <n v="0"/>
    <n v="0"/>
  </r>
  <r>
    <x v="0"/>
    <x v="2"/>
    <s v="Fondos"/>
    <s v="Si"/>
    <n v="28"/>
    <s v="180-7"/>
    <s v="1 - Mejorar la capacidad de los interesados en formular proyectos de inversión en el sector energético."/>
    <x v="6"/>
    <s v="Documento con los resultados de las validaciones"/>
    <n v="80111620"/>
    <x v="5"/>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m/>
    <m/>
    <n v="99400400"/>
    <n v="99400400"/>
    <n v="0"/>
    <n v="0"/>
    <n v="0"/>
  </r>
  <r>
    <x v="0"/>
    <x v="2"/>
    <s v="Fondos"/>
    <s v="Si"/>
    <n v="32"/>
    <s v="180-8"/>
    <s v="1 - Mejorar la capacidad de los interesados en formular proyectos de inversión en el sector energético."/>
    <x v="6"/>
    <s v="Documento con los resultados de las validaciones"/>
    <n v="80111620"/>
    <x v="5"/>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m/>
    <m/>
    <n v="97115333"/>
    <n v="97115333"/>
    <n v="0"/>
    <n v="0"/>
    <n v="0"/>
  </r>
  <r>
    <x v="0"/>
    <x v="2"/>
    <s v="Fondos"/>
    <s v="Si"/>
    <n v="32"/>
    <s v="180-9"/>
    <s v="1 - Mejorar la capacidad de los interesados en formular proyectos de inversión en el sector energético."/>
    <x v="6"/>
    <s v="Documento con los resultados de las validaciones"/>
    <n v="80111620"/>
    <x v="5"/>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m/>
    <m/>
    <n v="62757067"/>
    <n v="62757067"/>
    <n v="0"/>
    <n v="0"/>
    <n v="0"/>
  </r>
  <r>
    <x v="0"/>
    <x v="2"/>
    <s v="Fondos"/>
    <s v="Si"/>
    <n v="28"/>
    <s v="180-10"/>
    <s v="1 - Mejorar la capacidad de los interesados en formular proyectos de inversión en el sector energético."/>
    <x v="6"/>
    <s v="Documento con los resultados de las validaciones"/>
    <n v="80111620"/>
    <x v="5"/>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m/>
    <m/>
    <n v="53699067"/>
    <n v="53699067"/>
    <n v="0"/>
    <n v="0"/>
    <n v="0"/>
  </r>
  <r>
    <x v="0"/>
    <x v="2"/>
    <s v="Fondos"/>
    <s v="Si"/>
    <n v="28"/>
    <s v="180-11"/>
    <s v="1 - Mejorar la capacidad de los interesados en formular proyectos de inversión en el sector energético."/>
    <x v="6"/>
    <s v="Documento con los resultados de las validaciones"/>
    <n v="80111620"/>
    <x v="5"/>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m/>
    <m/>
    <n v="44668533"/>
    <n v="44668533"/>
    <n v="0"/>
    <n v="0"/>
    <n v="0"/>
  </r>
  <r>
    <x v="0"/>
    <x v="2"/>
    <s v="Fondos"/>
    <s v="Si"/>
    <n v="28"/>
    <s v="180-12"/>
    <s v="1 - Mejorar la capacidad de los interesados en formular proyectos de inversión en el sector energético."/>
    <x v="6"/>
    <s v="Documento con los resultados de las validaciones"/>
    <n v="80111620"/>
    <x v="5"/>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m/>
    <m/>
    <n v="40191333"/>
    <n v="40191333"/>
    <n v="0"/>
    <n v="0"/>
    <n v="0"/>
  </r>
  <r>
    <x v="0"/>
    <x v="2"/>
    <s v="Fondos"/>
    <s v="Si"/>
    <n v="28"/>
    <s v="180-13"/>
    <s v="1 - Mejorar la capacidad de los interesados en formular proyectos de inversión en el sector energético."/>
    <x v="6"/>
    <s v="Documento con los resultados de las validaciones"/>
    <n v="80111620"/>
    <x v="5"/>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r>
  <r>
    <x v="0"/>
    <x v="2"/>
    <s v="Fondos"/>
    <s v="Si"/>
    <n v="28"/>
    <s v="180-14"/>
    <s v="1 - Mejorar la capacidad de los interesados en formular proyectos de inversión en el sector energético."/>
    <x v="6"/>
    <s v="Documento con los resultados de las validaciones"/>
    <n v="80111620"/>
    <x v="5"/>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r>
  <r>
    <x v="0"/>
    <x v="2"/>
    <s v="Fondos"/>
    <s v="Si"/>
    <n v="28"/>
    <s v="180-15"/>
    <s v="1 - Mejorar la capacidad de los interesados en formular proyectos de inversión en el sector energético."/>
    <x v="6"/>
    <s v="Documento con los resultados de las validaciones"/>
    <n v="80111620"/>
    <x v="5"/>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m/>
    <m/>
    <n v="36370667"/>
    <n v="36370667"/>
    <n v="0"/>
    <n v="0"/>
    <n v="0"/>
  </r>
  <r>
    <x v="0"/>
    <x v="2"/>
    <s v="Fondos"/>
    <s v="Si"/>
    <n v="28"/>
    <s v="180-16"/>
    <s v="1 - Mejorar la capacidad de los interesados en formular proyectos de inversión en el sector energético."/>
    <x v="6"/>
    <s v="Documento con los resultados de las validaciones"/>
    <n v="80111620"/>
    <x v="5"/>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m/>
    <m/>
    <n v="33567733"/>
    <n v="33567733"/>
    <n v="0"/>
    <n v="0"/>
    <n v="0"/>
  </r>
  <r>
    <x v="0"/>
    <x v="2"/>
    <s v="Fondos"/>
    <s v="Si"/>
    <n v="32"/>
    <s v="180-17"/>
    <s v="1 - Mejorar la capacidad de los interesados en formular proyectos de inversión en el sector energético."/>
    <x v="6"/>
    <s v="Documento con los resultados de las validaciones"/>
    <n v="80111620"/>
    <x v="5"/>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m/>
    <m/>
    <n v="16966300"/>
    <n v="16966300"/>
    <n v="0"/>
    <n v="0"/>
    <n v="0"/>
  </r>
  <r>
    <x v="0"/>
    <x v="2"/>
    <s v="Fondos"/>
    <s v="Si"/>
    <n v="28"/>
    <s v="180-18"/>
    <s v="1 - Mejorar la capacidad de los interesados en formular proyectos de inversión en el sector energético."/>
    <x v="6"/>
    <s v="Documento con los resultados de las validaciones"/>
    <n v="80111620"/>
    <x v="5"/>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m/>
    <m/>
    <n v="25229600"/>
    <n v="25229600"/>
    <n v="0"/>
    <n v="0"/>
    <n v="0"/>
  </r>
  <r>
    <x v="0"/>
    <x v="2"/>
    <s v="Fondos"/>
    <s v="Si"/>
    <n v="24"/>
    <s v="180-19"/>
    <s v="1 - Mejorar la capacidad de los interesados en formular proyectos de inversión en el sector energético."/>
    <x v="6"/>
    <s v="Documento con los resultados de las validaciones"/>
    <n v="80111620"/>
    <x v="5"/>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m/>
    <m/>
    <n v="36201325"/>
    <n v="36201325"/>
    <n v="0"/>
    <n v="0"/>
    <n v="0"/>
  </r>
  <r>
    <x v="0"/>
    <x v="2"/>
    <s v="Fondos"/>
    <s v="Si"/>
    <n v="44"/>
    <s v="180-20"/>
    <s v="1 - Mejorar la capacidad de los interesados en formular proyectos de inversión en el sector energético."/>
    <x v="6"/>
    <s v="Documento con los resultados de las validaciones"/>
    <s v="N/A"/>
    <x v="5"/>
    <s v="Planta temporal"/>
    <s v="180-20 Gastos de nómina Planta Temporal "/>
    <s v="Abril"/>
    <s v="Abril"/>
    <s v="Julio"/>
    <n v="8"/>
    <s v="Meses"/>
    <s v="Contratación directa - Prestación de servicios profesionales"/>
    <s v="Propios - 20 - Ingresos corrientes"/>
    <n v="301556073"/>
    <n v="301556073"/>
    <s v="No"/>
    <s v="N/A"/>
    <s v="Maximiliano Bueno López"/>
    <s v="Jefe Oficina Gestión de Proyectos de Fondos"/>
    <n v="6012220601"/>
    <s v="maximilianobueno@upme.gov.co"/>
    <m/>
    <m/>
    <m/>
    <m/>
    <m/>
    <m/>
    <m/>
    <m/>
    <m/>
    <m/>
    <m/>
    <m/>
    <m/>
    <m/>
    <m/>
    <m/>
    <m/>
    <m/>
    <m/>
    <m/>
    <n v="301556073"/>
    <n v="74588541"/>
    <m/>
    <n v="226967532"/>
    <m/>
    <m/>
    <n v="301556073"/>
    <n v="301556073"/>
    <n v="0"/>
    <n v="0"/>
    <n v="0"/>
  </r>
  <r>
    <x v="0"/>
    <x v="2"/>
    <s v="Fondos"/>
    <s v="Si"/>
    <n v="32"/>
    <s v="180-21"/>
    <s v="1 - Mejorar la capacidad de los interesados en formular proyectos de inversión en el sector energético."/>
    <x v="6"/>
    <s v="Documento con los resultados de las validaciones"/>
    <n v="80131500"/>
    <x v="5"/>
    <s v="Arrendamientos"/>
    <s v="180-21 Alquilar espacios de oficina (coworking) en virtud del proyecto de modernización organizacional para la Unidad de Planeación Minero Energética."/>
    <s v="Abril"/>
    <s v="Abril"/>
    <s v="Julio"/>
    <n v="8"/>
    <s v="Meses"/>
    <s v="Contratación directa - Contratos de arrendamiento o adquisición de inmuebles"/>
    <s v="Propios - 20 - Ingresos corrientes"/>
    <n v="72292500"/>
    <n v="72292500"/>
    <s v="No"/>
    <s v="N/A"/>
    <s v="Maximiliano Bueno López"/>
    <s v="Jefe Oficina Gestión de Proyectos de Fondos"/>
    <n v="6012220601"/>
    <s v="maximilianobueno@upme.gov.co"/>
    <m/>
    <m/>
    <m/>
    <m/>
    <m/>
    <m/>
    <m/>
    <m/>
    <m/>
    <m/>
    <m/>
    <m/>
    <m/>
    <m/>
    <m/>
    <m/>
    <m/>
    <m/>
    <m/>
    <m/>
    <n v="46042500"/>
    <n v="22847500"/>
    <m/>
    <n v="49445000"/>
    <n v="26250000"/>
    <m/>
    <n v="72292500"/>
    <n v="72292500"/>
    <n v="0"/>
    <n v="0"/>
    <n v="0"/>
  </r>
  <r>
    <x v="0"/>
    <x v="2"/>
    <s v="Fondos"/>
    <s v="Si"/>
    <n v="29"/>
    <s v="180-22"/>
    <s v="1 - Mejorar la capacidad de los interesados en formular proyectos de inversión en el sector energético."/>
    <x v="6"/>
    <s v="Documento con la descripción de procesos, métodos y herramientas"/>
    <n v="80111620"/>
    <x v="5"/>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m/>
    <m/>
    <n v="23585520"/>
    <n v="23585520"/>
    <n v="0"/>
    <n v="0"/>
    <n v="0"/>
  </r>
  <r>
    <x v="0"/>
    <x v="2"/>
    <s v="Fondos"/>
    <s v="Si"/>
    <n v="7"/>
    <s v="180-23"/>
    <s v="1 - Mejorar la capacidad de los interesados en formular proyectos de inversión en el sector energético."/>
    <x v="6"/>
    <s v="Documento con la descripción de procesos, métodos y herramientas"/>
    <n v="80111620"/>
    <x v="5"/>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m/>
    <m/>
    <n v="3675000"/>
    <n v="3675000"/>
    <n v="0"/>
    <n v="0"/>
    <n v="0"/>
  </r>
  <r>
    <x v="0"/>
    <x v="2"/>
    <s v="Fondos"/>
    <s v="Si"/>
    <n v="29"/>
    <s v="180-24"/>
    <s v="1 - Mejorar la capacidad de los interesados en formular proyectos de inversión en el sector energético."/>
    <x v="6"/>
    <s v="Documento con la descripción de procesos, métodos y herramientas"/>
    <n v="43233501"/>
    <x v="5"/>
    <s v="Software-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m/>
    <m/>
    <n v="10696777"/>
    <n v="10696777"/>
    <n v="0"/>
    <n v="0"/>
    <n v="0"/>
  </r>
  <r>
    <x v="0"/>
    <x v="2"/>
    <s v="Fondos"/>
    <s v="Si"/>
    <n v="32"/>
    <s v="180-25"/>
    <s v="1 - Mejorar la capacidad de los interesados en formular proyectos de inversión en el sector energético."/>
    <x v="6"/>
    <s v="Documento con los resultados de las validaciones"/>
    <n v="80111620"/>
    <x v="5"/>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n v="-1976667"/>
    <n v="3953333"/>
    <n v="1976667"/>
    <n v="5930000"/>
    <m/>
    <n v="5930000"/>
    <m/>
    <n v="13836667"/>
    <m/>
    <m/>
    <n v="29650000"/>
    <n v="29650000"/>
    <n v="0"/>
    <n v="0"/>
    <n v="0"/>
  </r>
  <r>
    <x v="0"/>
    <x v="2"/>
    <s v="Fondos"/>
    <s v="Si"/>
    <n v="32"/>
    <s v="180-26"/>
    <s v="1 - Mejorar la capacidad de los interesados en formular proyectos de inversión en el sector energético."/>
    <x v="6"/>
    <s v="Documento con los resultados de las validaciones"/>
    <n v="80111620"/>
    <x v="5"/>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977800"/>
    <n v="23977800"/>
    <s v="No"/>
    <s v="N/A"/>
    <s v="Manuel Peña Suarez"/>
    <s v="Jefe Oficina Gestión de Proyectos de Fondos"/>
    <n v="6012220601"/>
    <s v="manuel.pena@upme.govco"/>
    <m/>
    <m/>
    <m/>
    <m/>
    <m/>
    <m/>
    <m/>
    <m/>
    <m/>
    <m/>
    <m/>
    <m/>
    <n v="23977800"/>
    <m/>
    <m/>
    <n v="3596670"/>
    <n v="-399630"/>
    <n v="3996300"/>
    <n v="399630"/>
    <n v="3996300"/>
    <m/>
    <n v="3996300"/>
    <m/>
    <n v="8392230"/>
    <m/>
    <m/>
    <n v="23977800"/>
    <n v="23977800"/>
    <n v="0"/>
    <n v="0"/>
    <n v="0"/>
  </r>
  <r>
    <x v="0"/>
    <x v="2"/>
    <s v="Fondos"/>
    <s v="Si"/>
    <n v="28"/>
    <s v="180-27"/>
    <s v="1 - Mejorar la capacidad de los interesados en formular proyectos de inversión en el sector energético."/>
    <x v="6"/>
    <s v="Documento con los resultados de las validaciones"/>
    <n v="80111620"/>
    <x v="5"/>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34479900"/>
    <n v="34479900"/>
    <s v="No"/>
    <s v="N/A"/>
    <s v="Manuel Peña Suarez"/>
    <s v="Jefe Oficina Gestión de Proyectos de Fondos"/>
    <n v="6012220601"/>
    <s v="manuel.pena@upme.govco"/>
    <m/>
    <m/>
    <m/>
    <m/>
    <m/>
    <m/>
    <m/>
    <m/>
    <m/>
    <m/>
    <m/>
    <m/>
    <n v="31606575"/>
    <m/>
    <m/>
    <n v="574665"/>
    <n v="-2298660"/>
    <n v="5746650"/>
    <n v="5171985"/>
    <n v="5746650"/>
    <m/>
    <n v="5746650"/>
    <m/>
    <n v="16665285"/>
    <m/>
    <m/>
    <n v="34479900"/>
    <n v="34479900"/>
    <n v="0"/>
    <n v="0"/>
    <n v="0"/>
  </r>
  <r>
    <x v="0"/>
    <x v="2"/>
    <s v="Fondos"/>
    <s v="Si"/>
    <n v="32"/>
    <s v="180-28"/>
    <s v="1 - Mejorar la capacidad de los interesados en formular proyectos de inversión en el sector energético."/>
    <x v="6"/>
    <s v="Documento con los resultados de las validaciones"/>
    <n v="80111620"/>
    <x v="5"/>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n v="-1976667"/>
    <n v="3953333"/>
    <n v="1976667"/>
    <n v="5930000"/>
    <m/>
    <n v="5930000"/>
    <m/>
    <n v="13836667"/>
    <m/>
    <m/>
    <n v="29650000"/>
    <n v="29650000"/>
    <n v="0"/>
    <n v="0"/>
    <n v="0"/>
  </r>
  <r>
    <x v="0"/>
    <x v="2"/>
    <s v="Fondos"/>
    <s v="Si"/>
    <n v="32"/>
    <s v="180-29"/>
    <s v="1 - Mejorar la capacidad de los interesados en formular proyectos de inversión en el sector energético."/>
    <x v="5"/>
    <s v="Capacitar organizaciones y usuarios en general en las regiones"/>
    <n v="80111620"/>
    <x v="4"/>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8661667"/>
    <m/>
    <n v="-1581334"/>
    <n v="4151000"/>
    <n v="2569667"/>
    <n v="5930000"/>
    <m/>
    <n v="5930000"/>
    <m/>
    <n v="13639000"/>
    <m/>
    <m/>
    <n v="29650000"/>
    <n v="29650000"/>
    <n v="0"/>
    <n v="0"/>
    <n v="0"/>
  </r>
  <r>
    <x v="0"/>
    <x v="2"/>
    <s v="Fondos"/>
    <s v="Si"/>
    <n v="32"/>
    <s v="180-30"/>
    <s v="1 - Mejorar la capacidad de los interesados en formular proyectos de inversión en el sector energético."/>
    <x v="6"/>
    <s v="Documento con la descripción de procesos, métodos y herramientas"/>
    <n v="80111620"/>
    <x v="5"/>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5080000"/>
    <n v="35080000"/>
    <s v="No"/>
    <s v="N/A"/>
    <s v="Manuel Peña Suarez"/>
    <s v="Jefe Oficina Gestión de Proyectos de Fondos"/>
    <n v="6012220601"/>
    <s v="manuel.pena@upme.govco"/>
    <m/>
    <m/>
    <m/>
    <m/>
    <m/>
    <m/>
    <m/>
    <m/>
    <m/>
    <m/>
    <m/>
    <m/>
    <m/>
    <m/>
    <n v="35080000"/>
    <m/>
    <m/>
    <n v="4677333"/>
    <m/>
    <n v="7016000"/>
    <m/>
    <n v="7016000"/>
    <m/>
    <n v="16370667"/>
    <m/>
    <m/>
    <n v="35080000"/>
    <n v="35080000"/>
    <n v="0"/>
    <n v="0"/>
    <n v="0"/>
  </r>
  <r>
    <x v="0"/>
    <x v="2"/>
    <s v="Fondos"/>
    <s v="Si"/>
    <n v="32"/>
    <s v="180-31"/>
    <s v="1 - Mejorar la capacidad de los interesados en formular proyectos de inversión en el sector energético."/>
    <x v="6"/>
    <s v="Documento con la descripción de procesos, métodos y herramientas"/>
    <n v="80111620"/>
    <x v="5"/>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24058650"/>
    <n v="24058650"/>
    <s v="No"/>
    <s v="N/A"/>
    <s v="Manuel Peña Suarez"/>
    <s v="Jefe Oficina Gestión de Proyectos de Fondos"/>
    <n v="6012220601"/>
    <s v="manuel.pena@upme.govco"/>
    <m/>
    <m/>
    <m/>
    <m/>
    <m/>
    <m/>
    <m/>
    <m/>
    <m/>
    <m/>
    <m/>
    <m/>
    <m/>
    <m/>
    <m/>
    <m/>
    <n v="16627380"/>
    <m/>
    <n v="7431270"/>
    <n v="2187150"/>
    <m/>
    <n v="4374300"/>
    <m/>
    <n v="17497200"/>
    <m/>
    <m/>
    <n v="24058650"/>
    <n v="24058650"/>
    <n v="0"/>
    <n v="0"/>
    <n v="0"/>
  </r>
  <r>
    <x v="0"/>
    <x v="2"/>
    <s v="Fondos"/>
    <s v="Si"/>
    <n v="32"/>
    <s v="180-32"/>
    <s v="1 - Mejorar la capacidad de los interesados en formular proyectos de inversión en el sector energético."/>
    <x v="6"/>
    <s v="Documento con los resultados de las validaciones"/>
    <n v="80111620"/>
    <x v="5"/>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1730000"/>
    <n v="31730000"/>
    <s v="No"/>
    <s v="N/A"/>
    <s v="Manuel Peña Suarez"/>
    <s v="Jefe Oficina Gestión de Proyectos de Fondos"/>
    <n v="6012220601"/>
    <s v="manuel.pena@upme.govco"/>
    <m/>
    <m/>
    <m/>
    <m/>
    <m/>
    <m/>
    <m/>
    <m/>
    <m/>
    <m/>
    <m/>
    <m/>
    <m/>
    <m/>
    <n v="31730000"/>
    <m/>
    <m/>
    <n v="4230666"/>
    <m/>
    <n v="6346000"/>
    <m/>
    <n v="6346000"/>
    <m/>
    <n v="14807334"/>
    <m/>
    <m/>
    <n v="31730000"/>
    <n v="31730000"/>
    <n v="0"/>
    <n v="0"/>
    <n v="0"/>
  </r>
  <r>
    <x v="0"/>
    <x v="2"/>
    <s v="Fondos"/>
    <s v="Si"/>
    <n v="32"/>
    <s v="180-33"/>
    <s v="1 - Mejorar la capacidad de los interesados en formular proyectos de inversión en el sector energético."/>
    <x v="6"/>
    <s v="Documento con los resultados de las validaciones"/>
    <n v="80111620"/>
    <x v="5"/>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3953333"/>
    <m/>
    <n v="5930000"/>
    <m/>
    <n v="5930000"/>
    <m/>
    <n v="13836667"/>
    <m/>
    <m/>
    <n v="29650000"/>
    <n v="29650000"/>
    <n v="0"/>
    <n v="0"/>
    <n v="0"/>
  </r>
  <r>
    <x v="0"/>
    <x v="2"/>
    <s v="Fondos"/>
    <s v="Si"/>
    <n v="32"/>
    <s v="180-34"/>
    <s v="1 - Mejorar la capacidad de los interesados en formular proyectos de inversión en el sector energético."/>
    <x v="6"/>
    <s v="Documento con los resultados de las validaciones"/>
    <n v="80111620"/>
    <x v="5"/>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32307008"/>
    <n v="32307008"/>
    <s v="No"/>
    <s v="N/A"/>
    <s v="Manuel Peña Suarez"/>
    <s v="Jefe Oficina Gestión de Proyectos de Fondos"/>
    <n v="6012220601"/>
    <s v="manuel.pena@upme.govco"/>
    <m/>
    <m/>
    <m/>
    <m/>
    <m/>
    <m/>
    <m/>
    <m/>
    <m/>
    <m/>
    <m/>
    <m/>
    <m/>
    <m/>
    <n v="27365000"/>
    <m/>
    <n v="-1824333"/>
    <n v="3648667"/>
    <n v="6766341"/>
    <n v="5930000"/>
    <m/>
    <n v="5930000"/>
    <m/>
    <n v="16798341"/>
    <m/>
    <m/>
    <n v="32307008"/>
    <n v="32307008"/>
    <n v="0"/>
    <n v="0"/>
    <n v="0"/>
  </r>
  <r>
    <x v="0"/>
    <x v="2"/>
    <s v="Fondos"/>
    <s v="Si"/>
    <n v="40"/>
    <s v="180-35"/>
    <s v="1 - Mejorar la capacidad de los interesados en formular proyectos de inversión en el sector energético."/>
    <x v="6"/>
    <s v="Documento con los resultados de las validaciones"/>
    <n v="80111620"/>
    <x v="5"/>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m/>
    <n v="6000000"/>
    <m/>
    <n v="6000000"/>
    <m/>
    <n v="9000000"/>
    <n v="3000000"/>
    <n v="3000000"/>
    <n v="24000000"/>
    <n v="24000000"/>
    <n v="0"/>
    <n v="0"/>
    <n v="0"/>
  </r>
  <r>
    <x v="0"/>
    <x v="2"/>
    <s v="Fondos"/>
    <s v="Si"/>
    <n v="40"/>
    <s v="180-36"/>
    <s v="1 - Mejorar la capacidad de los interesados en formular proyectos de inversión en el sector energético."/>
    <x v="6"/>
    <s v="Documento con los resultados de las validaciones"/>
    <n v="80111620"/>
    <x v="5"/>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m/>
    <n v="6000000"/>
    <m/>
    <n v="6000000"/>
    <m/>
    <n v="9000000"/>
    <n v="3000000"/>
    <n v="3000000"/>
    <n v="24000000"/>
    <n v="24000000"/>
    <n v="0"/>
    <n v="0"/>
    <n v="0"/>
  </r>
  <r>
    <x v="0"/>
    <x v="2"/>
    <s v="Fondos"/>
    <s v="Si"/>
    <n v="44"/>
    <s v="180-37"/>
    <s v="1 - Mejorar la capacidad de los interesados en formular proyectos de inversión en el sector energético."/>
    <x v="6"/>
    <s v="Documento con los resultados de las validaciones"/>
    <n v="80111620"/>
    <x v="5"/>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m/>
    <m/>
    <n v="0"/>
    <n v="0"/>
    <n v="0"/>
    <n v="0"/>
    <n v="0"/>
  </r>
  <r>
    <x v="0"/>
    <x v="2"/>
    <s v="Fondos"/>
    <s v="Si"/>
    <n v="44"/>
    <s v="180-38"/>
    <s v="1 - Mejorar la capacidad de los interesados en formular proyectos de inversión en el sector energético."/>
    <x v="5"/>
    <s v="Capacitar organizaciones y usuarios en general en las regiones"/>
    <n v="80111620"/>
    <x v="4"/>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21000000"/>
    <n v="21000000"/>
    <s v="No"/>
    <s v="N/A"/>
    <s v="Manuel Peña Suarez"/>
    <s v="Jefe Oficina Gestión de Proyectos de Fondos"/>
    <n v="6012220601"/>
    <s v="manuel.pena@upme.govco"/>
    <m/>
    <m/>
    <m/>
    <m/>
    <m/>
    <m/>
    <m/>
    <m/>
    <m/>
    <m/>
    <m/>
    <m/>
    <m/>
    <m/>
    <m/>
    <m/>
    <m/>
    <m/>
    <n v="21000000"/>
    <m/>
    <m/>
    <n v="7000000"/>
    <m/>
    <n v="14000000"/>
    <m/>
    <m/>
    <n v="21000000"/>
    <n v="21000000"/>
    <n v="0"/>
    <n v="0"/>
    <n v="0"/>
  </r>
  <r>
    <x v="0"/>
    <x v="2"/>
    <s v="Fondos"/>
    <s v="Si"/>
    <n v="44"/>
    <s v="180-39"/>
    <s v="1 - Mejorar la capacidad de los interesados en formular proyectos de inversión en el sector energético."/>
    <x v="6"/>
    <s v="Documento con los resultados de las validaciones"/>
    <n v="80111620"/>
    <x v="5"/>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13141800"/>
    <n v="13141800"/>
    <s v="No"/>
    <s v="N/A"/>
    <s v="Manuel Peña Suarez"/>
    <s v="Jefe Oficina Gestión de Proyectos de Fondos"/>
    <n v="6012220601"/>
    <s v="manuel.pena@upme.govco"/>
    <m/>
    <m/>
    <m/>
    <m/>
    <m/>
    <m/>
    <m/>
    <m/>
    <m/>
    <m/>
    <m/>
    <m/>
    <m/>
    <m/>
    <m/>
    <m/>
    <m/>
    <m/>
    <n v="13141800"/>
    <m/>
    <m/>
    <n v="3285450"/>
    <m/>
    <n v="9856350"/>
    <m/>
    <m/>
    <n v="13141800"/>
    <n v="13141800"/>
    <n v="0"/>
    <n v="0"/>
    <n v="0"/>
  </r>
  <r>
    <x v="0"/>
    <x v="2"/>
    <s v="Fondos"/>
    <s v="Si"/>
    <n v="47"/>
    <s v="180-40"/>
    <s v="1 - Mejorar la capacidad de los interesados en formular proyectos de inversión en el sector energético."/>
    <x v="5"/>
    <s v="Capacitar interesados en la presentación de proyectos de inversión"/>
    <n v="80141607"/>
    <x v="4"/>
    <s v="Operador logístico"/>
    <s v="180-40 Prestación de los servicios de apoyo logístico para el desarrollo de la estrategia de comunicación y participación con actores nacionales y territoriales, así como para otros espacios interinstitucionales en el marco de la misionalidad de la entida"/>
    <s v="Septiembre"/>
    <s v="Septiembre"/>
    <s v="Octubre"/>
    <n v="3"/>
    <s v="Meses"/>
    <s v="Contratación directa - Prestación de servicios profesionales "/>
    <s v="Propios - 20 - Ingresos corrientes"/>
    <n v="22047005"/>
    <n v="22047005"/>
    <s v="No"/>
    <s v="N/A"/>
    <s v="Manuel Peña Suarez"/>
    <s v="Jefe Oficina Gestión de Proyectos de Fondos"/>
    <n v="6012220601"/>
    <s v="manuel.pena@upme.govco"/>
    <m/>
    <m/>
    <m/>
    <m/>
    <m/>
    <m/>
    <m/>
    <m/>
    <m/>
    <m/>
    <m/>
    <m/>
    <m/>
    <m/>
    <m/>
    <m/>
    <m/>
    <m/>
    <n v="22047005"/>
    <m/>
    <m/>
    <n v="22047005"/>
    <m/>
    <m/>
    <m/>
    <m/>
    <n v="22047005"/>
    <n v="22047005"/>
    <n v="0"/>
    <n v="0"/>
    <n v="0"/>
  </r>
  <r>
    <x v="0"/>
    <x v="3"/>
    <s v="TIC"/>
    <s v="Si"/>
    <s v="75 (30/12/2024)"/>
    <s v="130-1"/>
    <s v="1 - Incrementar el desarrollo de los habilitadores transversales de la política de gobierno digital."/>
    <x v="7"/>
    <s v="Definir y estructurar las acciones tendientes a la apropiación e implementación de la política de Gobierno Digital"/>
    <n v="80111620"/>
    <x v="6"/>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m/>
    <m/>
    <n v="69300000"/>
    <n v="69300000"/>
    <n v="0"/>
    <n v="0"/>
    <n v="0"/>
  </r>
  <r>
    <x v="0"/>
    <x v="3"/>
    <s v="TIC"/>
    <s v="Si"/>
    <n v="36"/>
    <s v="130-2"/>
    <s v="1 - Incrementar el desarrollo de los habilitadores transversales de la política de gobierno digital."/>
    <x v="7"/>
    <s v="Mantener y fortalecer el modelo Operativo de TI"/>
    <n v="80111620"/>
    <x v="6"/>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m/>
    <m/>
    <n v="79566667"/>
    <n v="79566667"/>
    <n v="0"/>
    <n v="0"/>
    <n v="0"/>
  </r>
  <r>
    <x v="0"/>
    <x v="3"/>
    <s v="TIC"/>
    <s v="Si"/>
    <s v="75 (30/12/2024)"/>
    <s v="130-3"/>
    <s v="1 - Incrementar el desarrollo de los habilitadores transversales de la política de gobierno digital."/>
    <x v="7"/>
    <s v="Mantener y fortalecer el modelo Operativo de TI"/>
    <n v="80111620"/>
    <x v="6"/>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m/>
    <m/>
    <n v="56100000"/>
    <n v="56100000"/>
    <n v="0"/>
    <n v="0"/>
    <n v="0"/>
  </r>
  <r>
    <x v="0"/>
    <x v="3"/>
    <s v="TIC"/>
    <s v="Si"/>
    <s v="75 (30/12/2024)"/>
    <s v="130-4"/>
    <s v="1 - Incrementar el desarrollo de los habilitadores transversales de la política de gobierno digital."/>
    <x v="7"/>
    <s v="Definir y estructurar las acciones tendientes a la apropiación e implementación de la política de Gobierno Digital"/>
    <n v="80111620"/>
    <x v="6"/>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m/>
    <m/>
    <n v="19943000"/>
    <n v="19943000"/>
    <n v="0"/>
    <n v="0"/>
    <n v="0"/>
  </r>
  <r>
    <x v="0"/>
    <x v="3"/>
    <s v="TIC"/>
    <s v="Si"/>
    <n v="2"/>
    <s v="130-5"/>
    <s v="1 - Incrementar el desarrollo de los habilitadores transversales de la política de gobierno digital."/>
    <x v="7"/>
    <s v="Mantener y fortalecer el modelo Operativo de TI"/>
    <n v="80111620"/>
    <x v="6"/>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m/>
    <n v="8300000"/>
    <n v="366000"/>
    <n v="8300000"/>
    <m/>
    <n v="5323000"/>
    <m/>
    <m/>
    <n v="63423000"/>
    <n v="63423000"/>
    <n v="0"/>
    <n v="0"/>
    <n v="0"/>
  </r>
  <r>
    <x v="0"/>
    <x v="3"/>
    <s v="TIC"/>
    <s v="Si"/>
    <n v="36"/>
    <s v="130-6"/>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m/>
    <m/>
    <n v="120202500"/>
    <n v="120202500"/>
    <n v="0"/>
    <n v="0"/>
    <n v="0"/>
  </r>
  <r>
    <x v="0"/>
    <x v="3"/>
    <s v="TIC"/>
    <s v="Si"/>
    <n v="2"/>
    <s v="130-7"/>
    <s v="1 - Incrementar el desarrollo de los habilitadores transversales de la política de gobierno digital."/>
    <x v="7"/>
    <s v="Mantener y fortalecer el modelo Operativo de TI"/>
    <n v="80111620"/>
    <x v="6"/>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m/>
    <m/>
    <n v="28588000"/>
    <n v="28588000"/>
    <n v="0"/>
    <n v="0"/>
    <n v="0"/>
  </r>
  <r>
    <x v="0"/>
    <x v="3"/>
    <s v="TIC"/>
    <s v="Si"/>
    <n v="36"/>
    <s v="130-8"/>
    <s v="1 - Incrementar el desarrollo de los habilitadores transversales de la política de gobierno digital."/>
    <x v="7"/>
    <s v="Mantener y fortalecer el modelo Operativo de TI"/>
    <n v="80111620"/>
    <x v="6"/>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m/>
    <m/>
    <n v="49695067"/>
    <n v="49695067"/>
    <n v="0"/>
    <n v="0"/>
    <n v="0"/>
  </r>
  <r>
    <x v="0"/>
    <x v="3"/>
    <s v="TIC"/>
    <s v="Si"/>
    <n v="36"/>
    <s v="130-9"/>
    <s v="1 - Incrementar el desarrollo de los habilitadores transversales de la política de gobierno digital."/>
    <x v="7"/>
    <s v="Mantener y fortalecer el modelo Operativo de TI"/>
    <n v="80111620"/>
    <x v="6"/>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m/>
    <m/>
    <n v="51150000"/>
    <n v="51150000"/>
    <n v="0"/>
    <n v="0"/>
    <n v="0"/>
  </r>
  <r>
    <x v="0"/>
    <x v="3"/>
    <s v="TIC"/>
    <s v="Si"/>
    <n v="36"/>
    <s v="130-10"/>
    <s v="1 - Incrementar el desarrollo de los habilitadores transversales de la política de gobierno digital."/>
    <x v="7"/>
    <s v="Mantener y fortalecer el modelo Operativo de TI"/>
    <n v="80111620"/>
    <x v="6"/>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m/>
    <m/>
    <n v="90666667"/>
    <n v="90666667"/>
    <n v="0"/>
    <n v="0"/>
    <n v="0"/>
  </r>
  <r>
    <x v="0"/>
    <x v="3"/>
    <s v="TIC"/>
    <s v="Si"/>
    <n v="30"/>
    <s v="130-11"/>
    <s v="3 - Mejorar la implementación del modelo de Gestión de Información Institucional."/>
    <x v="9"/>
    <s v="Identificar y apropiar soluciones de TI"/>
    <n v="80111620"/>
    <x v="8"/>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n v="1892026"/>
    <m/>
    <n v="1892026"/>
    <m/>
    <n v="1892025"/>
    <m/>
    <m/>
    <n v="48076077"/>
    <n v="48076077"/>
    <n v="0"/>
    <n v="0"/>
    <n v="0"/>
  </r>
  <r>
    <x v="0"/>
    <x v="3"/>
    <s v="TIC"/>
    <s v="Si"/>
    <s v="75 (30/12/2024)"/>
    <s v="130-12"/>
    <s v="3 - Mejorar la implementación del modelo de Gestión de Información Institucional."/>
    <x v="9"/>
    <s v="Identificar y apropiar soluciones de TI"/>
    <n v="80111620"/>
    <x v="8"/>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4804000"/>
    <m/>
    <n v="4804000"/>
    <m/>
    <n v="12941208"/>
    <m/>
    <m/>
    <n v="52844000"/>
    <n v="52844000"/>
    <n v="0"/>
    <n v="0"/>
    <n v="0"/>
  </r>
  <r>
    <x v="0"/>
    <x v="3"/>
    <s v="TIC"/>
    <s v="Si"/>
    <n v="2"/>
    <s v="130-13"/>
    <s v="3 - Mejorar la implementación del modelo de Gestión de Información Institucional."/>
    <x v="9"/>
    <s v="Identificar y apropiar soluciones de TI"/>
    <n v="80111620"/>
    <x v="8"/>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m/>
    <m/>
    <n v="7000000"/>
    <n v="7000000"/>
    <n v="0"/>
    <n v="0"/>
    <n v="0"/>
  </r>
  <r>
    <x v="0"/>
    <x v="3"/>
    <s v="TIC"/>
    <s v="Si"/>
    <n v="2"/>
    <s v="130-14"/>
    <s v="2 - Aumentar la capacidad institucional a nivel de arquitectura tecnológica y de sistemas de información."/>
    <x v="8"/>
    <s v="Administrar de manera eficiente el Software a nivel Institucional, de cara a la mejora de los productos y servicios prestados a la ciudadanía"/>
    <n v="80111620"/>
    <x v="7"/>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m/>
    <m/>
    <n v="82333784"/>
    <n v="82333784"/>
    <n v="0"/>
    <n v="0"/>
    <n v="0"/>
  </r>
  <r>
    <x v="0"/>
    <x v="3"/>
    <s v="TIC"/>
    <s v="Si"/>
    <n v="36"/>
    <s v="130-15"/>
    <s v="1 - Incrementar el desarrollo de los habilitadores transversales de la política de gobierno digital."/>
    <x v="7"/>
    <s v="Mantener y fortalecer el modelo Operativo de TI"/>
    <n v="80111620"/>
    <x v="6"/>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m/>
    <m/>
    <n v="85176000"/>
    <n v="85176000"/>
    <n v="0"/>
    <n v="0"/>
    <n v="0"/>
  </r>
  <r>
    <x v="0"/>
    <x v="3"/>
    <s v="TIC"/>
    <s v="Si"/>
    <n v="42"/>
    <s v="130-16"/>
    <s v="1 - Incrementar el desarrollo de los habilitadores transversales de la política de gobierno digital."/>
    <x v="7"/>
    <s v="Mantener y fortalecer el modelo Operativo de TI"/>
    <n v="80111620"/>
    <x v="6"/>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m/>
    <m/>
    <n v="77000000"/>
    <n v="77000000"/>
    <n v="0"/>
    <n v="0"/>
    <n v="0"/>
  </r>
  <r>
    <x v="0"/>
    <x v="3"/>
    <s v="TIC"/>
    <s v="Si"/>
    <s v="75 (30/12/2024)"/>
    <s v="130-17"/>
    <s v="3 - Mejorar la implementación del modelo de Gestión de Información Institucional."/>
    <x v="9"/>
    <s v="Identificar y apropiar soluciones de TI"/>
    <n v="80111620"/>
    <x v="8"/>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m/>
    <m/>
    <n v="13580131"/>
    <n v="13580131"/>
    <n v="0"/>
    <n v="0"/>
    <n v="0"/>
  </r>
  <r>
    <x v="0"/>
    <x v="3"/>
    <s v="TIC"/>
    <s v="Si"/>
    <s v="75 (30/12/2024)"/>
    <s v="130-18"/>
    <s v="3 - Mejorar la implementación del modelo de Gestión de Información Institucional."/>
    <x v="9"/>
    <s v="Identificar y apropiar soluciones de TI"/>
    <n v="80111620"/>
    <x v="8"/>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m/>
    <m/>
    <n v="13580131"/>
    <n v="13580131"/>
    <n v="0"/>
    <n v="0"/>
    <n v="0"/>
  </r>
  <r>
    <x v="0"/>
    <x v="3"/>
    <s v="TIC"/>
    <s v="Si"/>
    <n v="36"/>
    <s v="130-19"/>
    <s v="1 - Incrementar el desarrollo de los habilitadores transversales de la política de gobierno digital."/>
    <x v="7"/>
    <s v="Mantener y fortalecer el modelo Operativo de TI"/>
    <n v="80111620"/>
    <x v="6"/>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m/>
    <m/>
    <n v="66800000"/>
    <n v="66800000"/>
    <n v="0"/>
    <n v="0"/>
    <n v="0"/>
  </r>
  <r>
    <x v="0"/>
    <x v="3"/>
    <s v="TIC"/>
    <s v="Si"/>
    <n v="42"/>
    <s v="130-20"/>
    <s v="1 - Incrementar el desarrollo de los habilitadores transversales de la política de gobierno digital."/>
    <x v="7"/>
    <s v="Mantener y fortalecer el modelo Operativo de TI"/>
    <n v="80111620"/>
    <x v="6"/>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m/>
    <m/>
    <n v="77274000"/>
    <n v="77274000"/>
    <n v="0"/>
    <n v="0"/>
    <n v="0"/>
  </r>
  <r>
    <x v="0"/>
    <x v="3"/>
    <s v="TIC"/>
    <s v="Si"/>
    <n v="42"/>
    <s v="130-21"/>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m/>
    <m/>
    <n v="20374200"/>
    <n v="20374200"/>
    <n v="0"/>
    <n v="0"/>
    <n v="0"/>
  </r>
  <r>
    <x v="0"/>
    <x v="3"/>
    <s v="TIC"/>
    <s v="Si"/>
    <s v="75 (30/12/2024)"/>
    <s v="130-22"/>
    <s v="1 - Incrementar el desarrollo de los habilitadores transversales de la política de gobierno digital."/>
    <x v="7"/>
    <s v="Mantener y fortalecer el modelo Operativo de TI"/>
    <n v="43233201"/>
    <x v="6"/>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m/>
    <m/>
    <n v="1500000"/>
    <n v="1500000"/>
    <n v="0"/>
    <n v="0"/>
    <n v="0"/>
  </r>
  <r>
    <x v="0"/>
    <x v="3"/>
    <s v="TIC"/>
    <s v="Si"/>
    <n v="42"/>
    <s v="130-23"/>
    <s v="1 - Incrementar el desarrollo de los habilitadores transversales de la política de gobierno digital."/>
    <x v="7"/>
    <s v="Mantener y fortalecer el modelo Operativo de TI"/>
    <n v="43233203"/>
    <x v="6"/>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m/>
    <m/>
    <n v="20926150"/>
    <n v="20926150"/>
    <n v="0"/>
    <n v="0"/>
    <n v="0"/>
  </r>
  <r>
    <x v="0"/>
    <x v="3"/>
    <s v="TIC"/>
    <s v="Si"/>
    <n v="36"/>
    <s v="130-24"/>
    <s v="2 - Aumentar la capacidad institucional a nivel de arquitectura tecnológica y de sistemas de información."/>
    <x v="8"/>
    <s v="Robustecer el nivel de madurez de la estrategia de infraestructura y soluciones en la nube"/>
    <n v="43232804"/>
    <x v="7"/>
    <s v="Software- Suscripciones"/>
    <s v="130-24 Adquirir la renovación de la suscripción anual del servicio especializado SolarWinds Hybrid Cloud Observability Advanced A250, destinada a la gestión y el monitoreo centralizado de la infraestructura tecnológica de la Entidad, con una capacidad par"/>
    <s v="Octubre"/>
    <s v="Octubre"/>
    <s v="Noviembre"/>
    <n v="12"/>
    <s v="Meses"/>
    <s v="Contratación directa "/>
    <s v="Propios - 20 - Ingresos corrientes"/>
    <n v="66749718"/>
    <n v="66749718"/>
    <s v="No"/>
    <s v="N/A"/>
    <s v="Eric Mauricio Vargas Forero"/>
    <s v="Jefe Oficina de Tecnologias de la Informacion"/>
    <n v="6012220601"/>
    <s v="eric.vargas@upme.gov.co"/>
    <m/>
    <m/>
    <m/>
    <m/>
    <m/>
    <m/>
    <m/>
    <m/>
    <m/>
    <m/>
    <m/>
    <m/>
    <m/>
    <m/>
    <m/>
    <m/>
    <m/>
    <m/>
    <n v="66749718"/>
    <m/>
    <m/>
    <m/>
    <m/>
    <n v="66749718"/>
    <m/>
    <m/>
    <n v="66749718"/>
    <n v="66749718"/>
    <n v="0"/>
    <n v="0"/>
    <n v="0"/>
  </r>
  <r>
    <x v="0"/>
    <x v="3"/>
    <s v="TIC"/>
    <s v="Si"/>
    <n v="16"/>
    <s v="130-25"/>
    <s v="2 - Aumentar la capacidad institucional a nivel de arquitectura tecnológica y de sistemas de información."/>
    <x v="8"/>
    <s v="Robustecer el nivel de madurez de la estrategia de infraestructura y soluciones en la nube"/>
    <n v="43233204"/>
    <x v="7"/>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m/>
    <m/>
    <n v="137493373"/>
    <n v="137493373"/>
    <n v="0"/>
    <n v="0"/>
    <n v="0"/>
  </r>
  <r>
    <x v="0"/>
    <x v="3"/>
    <s v="TIC"/>
    <s v="Si"/>
    <s v="75 (30/12/2024)"/>
    <s v="130-26"/>
    <s v="2 - Aumentar la capacidad institucional a nivel de arquitectura tecnológica y de sistemas de información."/>
    <x v="8"/>
    <s v="Robustecer el nivel de madurez de la estrategia de infraestructura y soluciones en la nube"/>
    <n v="43231513"/>
    <x v="7"/>
    <s v="Software - Licencias"/>
    <s v="130-26 Renovar el licencimiento y soporte de solución de backup."/>
    <s v="Septiembre"/>
    <s v="Octubre"/>
    <s v="Noviembre"/>
    <n v="12"/>
    <s v="Meses"/>
    <s v="Contratación directa "/>
    <s v="Propios - 20 - Ingresos corrientes"/>
    <n v="111405278"/>
    <n v="111405278"/>
    <s v="No"/>
    <s v="N/A"/>
    <s v="Eric Mauricio Vargas Forero"/>
    <s v="Jefe Oficina de Tecnologias de la Informacion"/>
    <n v="6012220601"/>
    <s v="eric.vargas@upme.gov.co"/>
    <m/>
    <m/>
    <m/>
    <m/>
    <m/>
    <m/>
    <m/>
    <m/>
    <m/>
    <m/>
    <m/>
    <m/>
    <m/>
    <m/>
    <m/>
    <m/>
    <m/>
    <m/>
    <m/>
    <m/>
    <n v="111405278"/>
    <m/>
    <m/>
    <n v="111405278"/>
    <m/>
    <m/>
    <n v="111405278"/>
    <n v="111405278"/>
    <n v="0"/>
    <n v="0"/>
    <n v="0"/>
  </r>
  <r>
    <x v="0"/>
    <x v="3"/>
    <s v="TIC"/>
    <s v="Si"/>
    <n v="42"/>
    <s v="130-27"/>
    <s v="2 - Aumentar la capacidad institucional a nivel de arquitectura tecnológica y de sistemas de información."/>
    <x v="8"/>
    <s v="Robustecer el nivel de madurez de la estrategia de infraestructura y soluciones en la nube"/>
    <n v="81112003"/>
    <x v="7"/>
    <s v="Software- Nube pública o privada"/>
    <s v="130-27 Adquirir el servicio de nube para Backup y DRP                                                "/>
    <s v="Septiembre"/>
    <s v="Octubre"/>
    <s v="Octubre"/>
    <n v="12"/>
    <s v="Meses"/>
    <s v="Seléccion abreviada - acuerdo marco"/>
    <s v="Propios - 20 - Ingresos corrientes"/>
    <n v="142354792"/>
    <n v="142354792"/>
    <s v="No"/>
    <s v="N/A"/>
    <s v="Eric Mauricio Vargas Forero"/>
    <s v="Jefe Oficina de Tecnologias de la Informacion"/>
    <n v="6012220601"/>
    <s v="eric.vargas@upme.gov.co"/>
    <m/>
    <m/>
    <m/>
    <m/>
    <m/>
    <m/>
    <m/>
    <m/>
    <m/>
    <m/>
    <m/>
    <m/>
    <m/>
    <m/>
    <m/>
    <m/>
    <m/>
    <m/>
    <n v="142354792"/>
    <m/>
    <m/>
    <m/>
    <m/>
    <n v="142354792"/>
    <m/>
    <m/>
    <n v="142354792"/>
    <n v="142354792"/>
    <n v="0"/>
    <n v="0"/>
    <n v="0"/>
  </r>
  <r>
    <x v="0"/>
    <x v="3"/>
    <s v="TIC"/>
    <s v="Si"/>
    <n v="2"/>
    <s v="130-28"/>
    <s v="2 - Aumentar la capacidad institucional a nivel de arquitectura tecnológica y de sistemas de información."/>
    <x v="8"/>
    <s v="Administrar de manera eficiente el Software a nivel Institucional, de cara a la mejora de los productos y servicios prestados a la ciudadanía"/>
    <n v="81112210"/>
    <x v="7"/>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m/>
    <m/>
    <n v="72620659"/>
    <n v="72620659"/>
    <n v="0"/>
    <n v="0"/>
    <n v="0"/>
  </r>
  <r>
    <x v="0"/>
    <x v="3"/>
    <s v="TIC"/>
    <s v="Si"/>
    <n v="36"/>
    <s v="130-29"/>
    <s v="2 - Aumentar la capacidad institucional a nivel de arquitectura tecnológica y de sistemas de información."/>
    <x v="8"/>
    <s v="Robustecer el nivel de madurez de la estrategia de infraestructura y soluciones en la nube"/>
    <n v="43233600"/>
    <x v="7"/>
    <s v="Software-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Agosto"/>
    <n v="12"/>
    <s v="Meses"/>
    <s v="Contratación directa "/>
    <s v="Propios - 20 - Ingresos corrientes"/>
    <n v="210000000"/>
    <n v="210000000"/>
    <s v="No"/>
    <s v="N/A"/>
    <s v="Eric Mauricio Vargas Forero"/>
    <s v="Jefe Oficina de Tecnologias de la Informacion"/>
    <n v="6012220601"/>
    <s v="eric.vargas@upme.gov.co"/>
    <m/>
    <m/>
    <m/>
    <m/>
    <m/>
    <m/>
    <m/>
    <m/>
    <m/>
    <m/>
    <m/>
    <m/>
    <m/>
    <m/>
    <m/>
    <m/>
    <m/>
    <m/>
    <n v="210000000"/>
    <m/>
    <m/>
    <m/>
    <m/>
    <n v="210000000"/>
    <m/>
    <m/>
    <n v="210000000"/>
    <n v="210000000"/>
    <n v="0"/>
    <n v="0"/>
    <n v="0"/>
  </r>
  <r>
    <x v="0"/>
    <x v="3"/>
    <s v="TIC"/>
    <s v="Si"/>
    <n v="42"/>
    <s v="130-30"/>
    <s v="2 - Aumentar la capacidad institucional a nivel de arquitectura tecnológica y de sistemas de información."/>
    <x v="8"/>
    <s v="Robustecer el nivel de madurez de la estrategia de infraestructura y soluciones en la nube"/>
    <n v="43233501"/>
    <x v="7"/>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m/>
    <m/>
    <n v="443611162"/>
    <n v="443611162"/>
    <n v="0"/>
    <n v="0"/>
    <n v="0"/>
  </r>
  <r>
    <x v="0"/>
    <x v="3"/>
    <s v="TIC"/>
    <s v="Si"/>
    <s v="75 (30/12/2024)"/>
    <s v="130-31"/>
    <s v="2 - Aumentar la capacidad institucional a nivel de arquitectura tecnológica y de sistemas de información."/>
    <x v="8"/>
    <s v="Robustecer el nivel de madurez de la estrategia de infraestructura y soluciones en la nube"/>
    <n v="43231513"/>
    <x v="7"/>
    <s v="Software - Licencias"/>
    <s v="130-31 Adquirir el canal de backup junto con la renovacion del segmento de prefijo IPV6 ante LACNIC."/>
    <s v="Febrero"/>
    <s v="Marzo"/>
    <s v="Abril"/>
    <n v="12"/>
    <s v="Meses"/>
    <s v="Contratación directa "/>
    <s v="Propios - 20 - Ingresos corrientes"/>
    <n v="15000000"/>
    <n v="15000000"/>
    <s v="No"/>
    <s v="N/A"/>
    <s v="Eric Mauricio Vargas Forero"/>
    <s v="Jefe Oficina de Tecnologias de la Informacion"/>
    <n v="6012220601"/>
    <s v="eric.vargas@upme.gov.co"/>
    <m/>
    <m/>
    <m/>
    <m/>
    <m/>
    <m/>
    <m/>
    <m/>
    <m/>
    <m/>
    <m/>
    <m/>
    <m/>
    <m/>
    <m/>
    <m/>
    <m/>
    <m/>
    <m/>
    <m/>
    <n v="15000000"/>
    <m/>
    <m/>
    <n v="15000000"/>
    <m/>
    <m/>
    <n v="15000000"/>
    <n v="15000000"/>
    <n v="0"/>
    <n v="0"/>
    <n v="0"/>
  </r>
  <r>
    <x v="0"/>
    <x v="3"/>
    <s v="TIC"/>
    <s v="Si"/>
    <n v="32"/>
    <s v="130-32"/>
    <s v="2 - Aumentar la capacidad institucional a nivel de arquitectura tecnológica y de sistemas de información."/>
    <x v="8"/>
    <s v="Robustecer el nivel de madurez de la estrategia de infraestructura y soluciones en la nube"/>
    <n v="43232605"/>
    <x v="7"/>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m/>
    <m/>
    <n v="145537494"/>
    <n v="145537494"/>
    <n v="0"/>
    <n v="0"/>
    <n v="0"/>
  </r>
  <r>
    <x v="0"/>
    <x v="3"/>
    <s v="TIC"/>
    <s v="Si"/>
    <s v="75 (30/12/2024)"/>
    <s v="130-33"/>
    <s v="2 - Aumentar la capacidad institucional a nivel de arquitectura tecnológica y de sistemas de información."/>
    <x v="8"/>
    <s v="Administrar de manera eficiente el Software a nivel Institucional, de cara a la mejora de los productos y servicios prestados a la ciudadanía"/>
    <n v="43232201"/>
    <x v="7"/>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m/>
    <m/>
    <n v="423254289"/>
    <n v="423254289"/>
    <n v="0"/>
    <n v="0"/>
    <n v="0"/>
  </r>
  <r>
    <x v="0"/>
    <x v="3"/>
    <s v="TIC"/>
    <s v="Si"/>
    <s v="75 (30/12/2024)"/>
    <s v="130-34"/>
    <s v="2 - Aumentar la capacidad institucional a nivel de arquitectura tecnológica y de sistemas de información."/>
    <x v="8"/>
    <s v="Robustecer el nivel de madurez de la estrategia de infraestructura y soluciones en la nube"/>
    <n v="43232201"/>
    <x v="7"/>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m/>
    <m/>
    <n v="52939461"/>
    <n v="52939461"/>
    <n v="0"/>
    <n v="0"/>
    <n v="0"/>
  </r>
  <r>
    <x v="0"/>
    <x v="3"/>
    <s v="TIC"/>
    <s v="Si"/>
    <n v="30"/>
    <s v="130-35"/>
    <s v="2 - Aumentar la capacidad institucional a nivel de arquitectura tecnológica y de sistemas de información."/>
    <x v="8"/>
    <s v="Robustecer el nivel de madurez de la estrategia de infraestructura y soluciones en la nube"/>
    <n v="43231513"/>
    <x v="7"/>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m/>
    <m/>
    <n v="44985024"/>
    <n v="44985024"/>
    <n v="0"/>
    <n v="0"/>
    <n v="0"/>
  </r>
  <r>
    <x v="0"/>
    <x v="3"/>
    <s v="TIC"/>
    <s v="Si"/>
    <n v="42"/>
    <s v="130-36"/>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8000000"/>
    <n v="28000000"/>
    <s v="No"/>
    <s v="N/A"/>
    <s v="Eric Mauricio Vargas Forero"/>
    <s v="Jefe Oficina de Tecnologias de la Informacion"/>
    <n v="6012220601"/>
    <s v="eric.vargas@upme.gov.co"/>
    <m/>
    <m/>
    <m/>
    <m/>
    <m/>
    <m/>
    <m/>
    <m/>
    <m/>
    <m/>
    <m/>
    <m/>
    <m/>
    <m/>
    <m/>
    <m/>
    <n v="25600000"/>
    <m/>
    <m/>
    <n v="4000000"/>
    <m/>
    <n v="8000000"/>
    <m/>
    <n v="13600000"/>
    <n v="2400000"/>
    <n v="2400000"/>
    <n v="28000000"/>
    <n v="28000000"/>
    <n v="0"/>
    <n v="0"/>
    <n v="0"/>
  </r>
  <r>
    <x v="0"/>
    <x v="3"/>
    <s v="TIC"/>
    <s v="Si"/>
    <n v="36"/>
    <s v="130-37"/>
    <s v="1 - Incrementar el desarrollo de los habilitadores transversales de la política de gobierno digital."/>
    <x v="7"/>
    <s v="Mantener y fortalecer el modelo Operativo de TI"/>
    <n v="80111620"/>
    <x v="6"/>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m/>
    <m/>
    <n v="8764000"/>
    <m/>
    <m/>
    <m/>
    <m/>
    <n v="8764000"/>
    <n v="8764000"/>
    <n v="0"/>
    <n v="0"/>
    <n v="0"/>
  </r>
  <r>
    <x v="0"/>
    <x v="3"/>
    <s v="TIC"/>
    <s v="Si"/>
    <n v="36"/>
    <s v="130-38"/>
    <s v="2 - Aumentar la capacidad institucional a nivel de arquitectura tecnológica y de sistemas de información."/>
    <x v="8"/>
    <s v="Robustecer el nivel de madurez de la estrategia de infraestructura y soluciones en la nube"/>
    <s v="43233200;81111800;81111801;81112208"/>
    <x v="7"/>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n v="162075042"/>
    <m/>
    <m/>
    <m/>
    <m/>
    <n v="162075042"/>
    <m/>
    <m/>
    <n v="162075042"/>
    <n v="162075042"/>
    <n v="0"/>
    <n v="0"/>
    <n v="0"/>
  </r>
  <r>
    <x v="0"/>
    <x v="3"/>
    <s v="TIC"/>
    <s v="Si"/>
    <s v="75 (30/12/2024)"/>
    <s v="130-39"/>
    <s v="2 - Aumentar la capacidad institucional a nivel de arquitectura tecnológica y de sistemas de información."/>
    <x v="8"/>
    <s v="Administrar de manera eficiente el Software a nivel Institucional, de cara a la mejora de los productos y servicios prestados a la ciudadanía"/>
    <s v="43233200;81111800;81111801;81112208"/>
    <x v="7"/>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n v="4620000"/>
    <m/>
    <m/>
    <m/>
    <m/>
    <n v="4620000"/>
    <m/>
    <m/>
    <n v="4620000"/>
    <n v="4620000"/>
    <n v="0"/>
    <n v="0"/>
    <n v="0"/>
  </r>
  <r>
    <x v="0"/>
    <x v="3"/>
    <s v="TIC"/>
    <s v="Si"/>
    <n v="30"/>
    <s v="130-40"/>
    <s v="2 - Aumentar la capacidad institucional a nivel de arquitectura tecnológica y de sistemas de información."/>
    <x v="8"/>
    <s v="Robustecer el nivel de madurez de la estrategia de infraestructura y soluciones en la nube"/>
    <s v="43222501, 43222503, 43222504, 43222609, 43233205"/>
    <x v="7"/>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m/>
    <m/>
    <m/>
    <m/>
    <n v="199832164"/>
    <m/>
    <m/>
    <n v="199832164"/>
    <n v="199832164"/>
    <n v="0"/>
    <n v="0"/>
    <n v="0"/>
  </r>
  <r>
    <x v="0"/>
    <x v="3"/>
    <s v="TIC"/>
    <s v="Si"/>
    <n v="30"/>
    <s v="130-41"/>
    <s v="2 - Aumentar la capacidad institucional a nivel de arquitectura tecnológica y de sistemas de información."/>
    <x v="8"/>
    <s v="Robustecer el nivel de madurez de la estrategia de infraestructura y soluciones en la nube"/>
    <s v="43231507;43232103;43232304;81112200;81112100"/>
    <x v="7"/>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m/>
    <m/>
    <n v="1127972"/>
    <n v="1127972"/>
    <n v="0"/>
    <n v="0"/>
    <n v="0"/>
  </r>
  <r>
    <x v="0"/>
    <x v="3"/>
    <s v="TIC"/>
    <s v="Si"/>
    <n v="15"/>
    <s v="130-42"/>
    <s v="3 - Mejorar la implementación del modelo de Gestión de Información Institucional."/>
    <x v="9"/>
    <s v="Identificar y apropiar soluciones de TI"/>
    <n v="80111620"/>
    <x v="8"/>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m/>
    <m/>
    <n v="1292550"/>
    <n v="1292550"/>
    <n v="0"/>
    <n v="0"/>
    <n v="0"/>
  </r>
  <r>
    <x v="0"/>
    <x v="3"/>
    <s v="TIC"/>
    <s v="Si"/>
    <n v="9"/>
    <s v="130-43"/>
    <s v="2 - Aumentar la capacidad institucional a nivel de arquitectura tecnológica y de sistemas de información."/>
    <x v="8"/>
    <s v="Robustecer el nivel de madurez de la estrategia de infraestructura y soluciones en la nube"/>
    <n v="43222501"/>
    <x v="7"/>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m/>
    <m/>
    <m/>
    <m/>
    <m/>
    <m/>
    <n v="49.64"/>
    <m/>
    <m/>
    <n v="71490206"/>
    <n v="71490206"/>
    <n v="0"/>
    <n v="0"/>
    <n v="0"/>
  </r>
  <r>
    <x v="0"/>
    <x v="3"/>
    <s v="TIC"/>
    <s v="Si"/>
    <n v="30"/>
    <s v="130-44"/>
    <s v="3 - Mejorar la implementación del modelo de Gestión de Información Institucional."/>
    <x v="9"/>
    <s v="Identificar y apropiar soluciones de TI"/>
    <n v="43222501"/>
    <x v="8"/>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m/>
    <m/>
    <n v="128124266"/>
    <n v="128124266"/>
    <n v="0"/>
    <n v="0"/>
    <n v="0"/>
  </r>
  <r>
    <x v="0"/>
    <x v="3"/>
    <s v="TIC"/>
    <s v="Si"/>
    <n v="12"/>
    <s v="130-45"/>
    <s v="3 - Mejorar la implementación del modelo de Gestión de Información Institucional."/>
    <x v="9"/>
    <s v="Realizar la adopción del modelo de gestión de Información Institucional"/>
    <s v="43231507;43232103;43232304;81112200;81112100"/>
    <x v="8"/>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m/>
    <m/>
    <n v="3400000"/>
    <n v="3400000"/>
    <n v="0"/>
    <n v="0"/>
    <n v="0"/>
  </r>
  <r>
    <x v="0"/>
    <x v="3"/>
    <s v="TIC"/>
    <s v="Si"/>
    <n v="16"/>
    <s v="130-46"/>
    <s v="2 - Aumentar la capacidad institucional a nivel de arquitectura tecnológica y de sistemas de informaciòn"/>
    <x v="8"/>
    <s v="Robustecer el nivel de madurez de la estrategia de infraestructura y soluciones en la nube"/>
    <n v="43231513"/>
    <x v="7"/>
    <s v="Software - Licencias"/>
    <s v="130-46 Adquirir el canal de backup junto con la renovacion del segmento de prefijo IPV6 ante LACNIC."/>
    <s v="Febrero"/>
    <s v="Marzo"/>
    <s v="Abril"/>
    <n v="12"/>
    <s v="Meses"/>
    <s v="Contratación directa "/>
    <s v="Propios - 20 - Ingresos corrientes"/>
    <n v="20000000"/>
    <n v="20000000"/>
    <s v="No"/>
    <s v="N/A"/>
    <s v="Eric Mauricio Vargas Forero"/>
    <s v="Jefe Oficina de Tecnologias de la Informacion"/>
    <n v="6012220601"/>
    <s v="eric.vargas@upme.gov.co"/>
    <m/>
    <m/>
    <m/>
    <m/>
    <m/>
    <m/>
    <m/>
    <m/>
    <m/>
    <m/>
    <m/>
    <m/>
    <m/>
    <m/>
    <m/>
    <m/>
    <m/>
    <m/>
    <m/>
    <m/>
    <n v="20000000"/>
    <m/>
    <m/>
    <n v="20000000"/>
    <m/>
    <m/>
    <n v="20000000"/>
    <n v="20000000"/>
    <n v="0"/>
    <n v="0"/>
    <n v="0"/>
  </r>
  <r>
    <x v="0"/>
    <x v="3"/>
    <s v="TIC"/>
    <s v="Si"/>
    <n v="32"/>
    <s v="130-47"/>
    <s v="1 - Incrementar el desarrollo de los habilitadores transversales de la política de gobierno digital"/>
    <x v="7"/>
    <s v="Mantener y fortalecer el modelo Operativo de TI"/>
    <n v="80111620"/>
    <x v="6"/>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m/>
    <m/>
    <n v="17488000"/>
    <n v="17488000"/>
    <n v="0"/>
    <n v="0"/>
    <n v="0"/>
  </r>
  <r>
    <x v="0"/>
    <x v="3"/>
    <s v="TIC"/>
    <s v="Si"/>
    <n v="3"/>
    <s v="130-48"/>
    <s v="2 - Aumentar la capacidad institucional a nivel de arquitectura tecnológica y de sistemas de informaciòn"/>
    <x v="8"/>
    <s v="Robustecer el nivel de madurez de la estrategia de infraestructura y soluciones en la nube"/>
    <n v="81111811"/>
    <x v="7"/>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m/>
    <m/>
    <m/>
    <m/>
    <n v="16671529"/>
    <m/>
    <m/>
    <n v="25259892"/>
    <n v="25259892"/>
    <n v="0"/>
    <n v="0"/>
    <n v="0"/>
  </r>
  <r>
    <x v="0"/>
    <x v="3"/>
    <s v="TIC"/>
    <s v="Si"/>
    <n v="32"/>
    <s v="130-49"/>
    <s v="3 - Mejorar la implementación del modelo de Gestión de Información Institucional."/>
    <x v="9"/>
    <s v="Identificar y apropiar soluciones de TI"/>
    <n v="43232804"/>
    <x v="8"/>
    <s v="Software - Suscripciones"/>
    <s v="130-49 Adquirir la renovación de la suscripción anual del servicio especializado SolarWinds Hybrid Cloud Observability Advanced A250, destinada a la gestión y el monitoreo centralizado de la infraestructura tecnológica de la Entidad, con una capacidad par"/>
    <s v="Octubre"/>
    <s v="Noviembre"/>
    <s v="Noviembre"/>
    <n v="12"/>
    <s v="Meses"/>
    <s v="Contratación directa "/>
    <s v="Propios - 20 - Ingresos corrientes"/>
    <n v="32093394"/>
    <n v="32093394"/>
    <s v="No"/>
    <s v="N/A"/>
    <s v="Eric Mauricio Vargas Forero"/>
    <s v="Jefe Oficina de Tecnologias de la Informacion"/>
    <n v="6012220601"/>
    <s v="eric.vargas@upme.gov.co"/>
    <m/>
    <m/>
    <m/>
    <m/>
    <m/>
    <m/>
    <m/>
    <m/>
    <m/>
    <m/>
    <m/>
    <m/>
    <m/>
    <m/>
    <m/>
    <m/>
    <m/>
    <m/>
    <m/>
    <m/>
    <n v="32093394"/>
    <m/>
    <m/>
    <n v="32093394"/>
    <m/>
    <m/>
    <n v="32093394"/>
    <n v="32093394"/>
    <n v="0"/>
    <n v="0"/>
    <n v="0"/>
  </r>
  <r>
    <x v="0"/>
    <x v="3"/>
    <s v="TIC"/>
    <s v="Si"/>
    <n v="32"/>
    <s v="130-50"/>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m/>
    <m/>
    <n v="11707450"/>
    <n v="11707450"/>
    <n v="0"/>
    <n v="0"/>
    <n v="0"/>
  </r>
  <r>
    <x v="0"/>
    <x v="3"/>
    <s v="TIC"/>
    <s v="Si"/>
    <n v="30"/>
    <s v="130-51"/>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6000000"/>
    <m/>
    <n v="5923923"/>
    <m/>
    <m/>
    <n v="17923923"/>
    <n v="17923923"/>
    <n v="0"/>
    <n v="0"/>
    <n v="0"/>
  </r>
  <r>
    <x v="0"/>
    <x v="3"/>
    <s v="TIC"/>
    <s v="Si"/>
    <n v="30"/>
    <s v="130-52"/>
    <s v="3 - Mejorar la implementación del modelo de Gestión de Información Institucional."/>
    <x v="9"/>
    <s v="Identificar y apropiar soluciones de TI"/>
    <n v="81112003"/>
    <x v="8"/>
    <s v="Software - Nube pública o privada"/>
    <s v="130-52 Adquirir el servicio de nube para Backup y DRP"/>
    <s v="Septiembre"/>
    <s v="Octubre"/>
    <s v="Octubre"/>
    <n v="12"/>
    <s v="Meses"/>
    <s v="Seléccion abreviada - acuerdo marco"/>
    <s v="Propios - 20 - Ingresos corrientes"/>
    <n v="18309451"/>
    <n v="18309451"/>
    <s v="No"/>
    <s v="N/A"/>
    <s v="Eric Mauricio Vargas Forero"/>
    <s v="Jefe Oficina de Tecnologias de la Informacion"/>
    <n v="6012220601"/>
    <s v="eric.vargas@upme.gov.co"/>
    <m/>
    <m/>
    <m/>
    <m/>
    <m/>
    <m/>
    <m/>
    <m/>
    <m/>
    <m/>
    <m/>
    <m/>
    <m/>
    <m/>
    <m/>
    <m/>
    <m/>
    <m/>
    <n v="18309451"/>
    <m/>
    <m/>
    <m/>
    <m/>
    <n v="18309451"/>
    <m/>
    <m/>
    <n v="18309451"/>
    <n v="18309451"/>
    <n v="0"/>
    <n v="0"/>
    <n v="0"/>
  </r>
  <r>
    <x v="0"/>
    <x v="3"/>
    <s v="TIC"/>
    <s v="Si"/>
    <n v="32"/>
    <s v="130-53"/>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2186000"/>
    <n v="2186000"/>
    <s v="No"/>
    <s v="N/A"/>
    <s v="Eric Mauricio Vargas Forero"/>
    <s v="Jefe Oficina de Tecnologias de la Informacion"/>
    <n v="6012220601"/>
    <s v="eric.vargas@upme.gov.co"/>
    <m/>
    <m/>
    <m/>
    <m/>
    <m/>
    <m/>
    <m/>
    <m/>
    <m/>
    <m/>
    <m/>
    <m/>
    <m/>
    <m/>
    <n v="2186000"/>
    <m/>
    <n v="-437200"/>
    <n v="1748800"/>
    <m/>
    <m/>
    <m/>
    <m/>
    <m/>
    <m/>
    <n v="437200"/>
    <n v="437200"/>
    <n v="2186000"/>
    <n v="2186000"/>
    <n v="0"/>
    <n v="0"/>
    <n v="0"/>
  </r>
  <r>
    <x v="0"/>
    <x v="3"/>
    <s v="TIC"/>
    <s v="Si"/>
    <n v="36"/>
    <s v="130-54"/>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16000000"/>
    <n v="16000000"/>
    <s v="No"/>
    <s v="N/A"/>
    <s v="Eric Mauricio Vargas Forero"/>
    <s v="Jefe Oficina de Tecnologias de la Informacion"/>
    <n v="6012220601"/>
    <s v="eric.vargas@upme.gov.co"/>
    <m/>
    <m/>
    <m/>
    <m/>
    <m/>
    <m/>
    <m/>
    <m/>
    <m/>
    <m/>
    <m/>
    <m/>
    <m/>
    <m/>
    <m/>
    <m/>
    <m/>
    <m/>
    <m/>
    <m/>
    <m/>
    <m/>
    <m/>
    <m/>
    <n v="16000000"/>
    <n v="16000000"/>
    <n v="16000000"/>
    <n v="16000000"/>
    <n v="0"/>
    <n v="0"/>
    <n v="0"/>
  </r>
  <r>
    <x v="0"/>
    <x v="3"/>
    <s v="TIC"/>
    <s v="Si"/>
    <n v="42"/>
    <s v="130-55"/>
    <s v="2 - Aumentar la capacidad institucional a nivel de arquitectura tecnológica y de sistemas de informaciòn"/>
    <x v="8"/>
    <s v="Robustecer el nivel de madurez de la estrategia de infraestructura y soluciones en la nube"/>
    <n v="81112210"/>
    <x v="7"/>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m/>
    <m/>
    <n v="20000000"/>
    <n v="20000000"/>
    <n v="0"/>
    <n v="0"/>
    <n v="0"/>
  </r>
  <r>
    <x v="0"/>
    <x v="3"/>
    <s v="TIC"/>
    <s v="Si"/>
    <n v="42"/>
    <s v="130-56"/>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3141800"/>
    <n v="13141800"/>
    <s v="No"/>
    <s v="N/A"/>
    <s v="Eric Mauricio Vargas Forero"/>
    <s v="Jefe Oficina de Tecnologias de la Informacion"/>
    <n v="6012220601"/>
    <s v="eric.vargas@upme.gov.co"/>
    <m/>
    <m/>
    <m/>
    <m/>
    <m/>
    <m/>
    <m/>
    <m/>
    <m/>
    <m/>
    <m/>
    <m/>
    <m/>
    <m/>
    <m/>
    <m/>
    <n v="11170530"/>
    <m/>
    <m/>
    <n v="3285450"/>
    <m/>
    <n v="3285450"/>
    <m/>
    <n v="4599630"/>
    <n v="1971270"/>
    <n v="1971270"/>
    <n v="13141800"/>
    <n v="13141800"/>
    <n v="0"/>
    <n v="0"/>
    <n v="0"/>
  </r>
  <r>
    <x v="0"/>
    <x v="3"/>
    <s v="TIC"/>
    <s v="Si"/>
    <n v="42"/>
    <s v="130-57"/>
    <s v="2 - Aumentar la capacidad institucional a nivel de arquitectura tecnológica y de sistemas de informaciòn"/>
    <x v="8"/>
    <s v="Robustecer el nivel de madurez de la estrategia de infraestructura y soluciones en la nube"/>
    <n v="43233203"/>
    <x v="7"/>
    <s v="Software - Licencias"/>
    <s v="130-57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0"/>
    <n v="0"/>
    <s v="No"/>
    <s v="N/A"/>
    <s v="Eric Mauricio Vargas Forero"/>
    <s v="Jefe Oficina de Tecnologias de la Informacion"/>
    <n v="6012220601"/>
    <s v="eric.vargas@upme.gov.co"/>
    <m/>
    <m/>
    <m/>
    <m/>
    <m/>
    <m/>
    <m/>
    <m/>
    <m/>
    <m/>
    <m/>
    <m/>
    <m/>
    <m/>
    <m/>
    <m/>
    <m/>
    <m/>
    <m/>
    <m/>
    <m/>
    <m/>
    <m/>
    <m/>
    <m/>
    <m/>
    <n v="0"/>
    <n v="0"/>
    <n v="0"/>
    <n v="0"/>
    <n v="0"/>
  </r>
  <r>
    <x v="0"/>
    <x v="3"/>
    <s v="TIC"/>
    <s v="Si"/>
    <n v="42"/>
    <s v="130-58"/>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8 Prestar servicios profesionales en el habilitador de la política de gobierno digital relacionado con servicios ciudadanos digitales, para el mantenimiento de los procesos automatizados en el BPMS, implementados por la UPME, de acuerdo con los reque"/>
    <s v="Agosto"/>
    <s v="Agosto"/>
    <s v="Agosto"/>
    <n v="2"/>
    <s v="Meses"/>
    <s v="Contratación directa "/>
    <s v="Propios - 20 - Ingresos corrientes"/>
    <n v="0"/>
    <n v="0"/>
    <s v="No"/>
    <s v="N/A"/>
    <s v="Eric Mauricio Vargas Forero"/>
    <s v="Jefe Oficina de Tecnologias de la Informacion"/>
    <n v="6012220601"/>
    <s v="eric.vargas@upme.gov.co"/>
    <m/>
    <m/>
    <m/>
    <m/>
    <m/>
    <m/>
    <m/>
    <m/>
    <m/>
    <m/>
    <m/>
    <m/>
    <m/>
    <m/>
    <m/>
    <m/>
    <m/>
    <m/>
    <m/>
    <m/>
    <m/>
    <m/>
    <m/>
    <m/>
    <m/>
    <m/>
    <n v="0"/>
    <n v="0"/>
    <n v="0"/>
    <n v="0"/>
    <n v="0"/>
  </r>
  <r>
    <x v="0"/>
    <x v="3"/>
    <s v="TIC"/>
    <s v="Si"/>
    <n v="36"/>
    <s v="130-59"/>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n v="2666216"/>
    <m/>
    <m/>
    <m/>
    <m/>
    <m/>
    <m/>
    <n v="2666216"/>
    <n v="2666216"/>
    <n v="0"/>
    <n v="0"/>
    <n v="0"/>
  </r>
  <r>
    <x v="0"/>
    <x v="3"/>
    <s v="TIC"/>
    <s v="Si"/>
    <n v="36"/>
    <s v="130-60"/>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60 Prestar servicios profesionales como Gerente de Proyectos para Sistemas de Información, para liderar el seguimiento a los proyectos de desarrollo y la implementación de software en la entidad, así como  planificar, ejecutar y monitorear el ciclo de"/>
    <s v="Agosto"/>
    <s v="Agosto"/>
    <s v="Agosto"/>
    <n v="4"/>
    <s v="Meses"/>
    <s v="Contratación directa "/>
    <s v="Propios - 20 - Ingresos corrientes"/>
    <n v="20000000"/>
    <n v="20000000"/>
    <s v="No"/>
    <s v="N/A"/>
    <s v="Eric Mauricio Vargas Forero"/>
    <s v="Jefe Oficina de Tecnologias de la Informacion"/>
    <n v="6012220601"/>
    <s v="eric.vargas@upme.gov.co"/>
    <m/>
    <m/>
    <m/>
    <m/>
    <m/>
    <m/>
    <m/>
    <m/>
    <m/>
    <m/>
    <m/>
    <m/>
    <m/>
    <m/>
    <m/>
    <m/>
    <m/>
    <m/>
    <m/>
    <m/>
    <m/>
    <m/>
    <m/>
    <m/>
    <n v="20000000"/>
    <n v="20000000"/>
    <n v="20000000"/>
    <n v="20000000"/>
    <n v="0"/>
    <n v="0"/>
    <n v="0"/>
  </r>
  <r>
    <x v="0"/>
    <x v="3"/>
    <s v="TIC"/>
    <s v="Si"/>
    <n v="42"/>
    <s v="130-61"/>
    <s v="1 - Incrementar el desarrollo de los habilitadores transversales de la política de gobierno digital."/>
    <x v="7"/>
    <s v="Mantener y fortalecer el modelo Operativo de TI"/>
    <n v="81112003"/>
    <x v="6"/>
    <s v="Software - Nube pública o privada"/>
    <s v="130-61 Adquirir el servicio de nube para Backup y DRP"/>
    <s v="Septiembre"/>
    <s v="Octubre"/>
    <s v="Octubre"/>
    <n v="12"/>
    <s v="Meses"/>
    <s v="Seléccion abreviada - acuerdo marco"/>
    <s v="Propios - 20 - Ingresos corrientes"/>
    <n v="9774929"/>
    <n v="9774929"/>
    <s v="No"/>
    <s v="N/A"/>
    <s v="Paola del Pilar Puerta"/>
    <s v="Jefe Oficina de Tecnologias de la Informacion"/>
    <n v="6012220601"/>
    <s v="pilar.puerta@upme.gov.co"/>
    <m/>
    <m/>
    <m/>
    <m/>
    <m/>
    <m/>
    <m/>
    <m/>
    <m/>
    <m/>
    <m/>
    <m/>
    <m/>
    <m/>
    <m/>
    <m/>
    <m/>
    <m/>
    <n v="9774929"/>
    <m/>
    <m/>
    <m/>
    <m/>
    <n v="9774929"/>
    <m/>
    <m/>
    <n v="9774929"/>
    <n v="9774929"/>
    <n v="0"/>
    <n v="0"/>
    <n v="0"/>
  </r>
  <r>
    <x v="0"/>
    <x v="4"/>
    <s v="Energía"/>
    <s v="Si"/>
    <n v="46"/>
    <s v="150-1"/>
    <s v="1 - Aumentar señales de expansión y cobertura del servicio de energía eléctrica."/>
    <x v="10"/>
    <s v="Documento de planeación validado"/>
    <n v="80111620"/>
    <x v="9"/>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n v="3794700"/>
    <m/>
    <n v="7589400"/>
    <m/>
    <m/>
    <n v="36464100"/>
    <n v="36464100"/>
    <n v="0"/>
    <n v="0"/>
    <n v="0"/>
  </r>
  <r>
    <x v="0"/>
    <x v="4"/>
    <s v="Energía"/>
    <s v="Si"/>
    <n v="6"/>
    <s v="150-2"/>
    <s v="1 - Aumentar señales de expansión y cobertura del servicio de energía eléctrica."/>
    <x v="10"/>
    <s v="Documento de planeación validado"/>
    <n v="80111620"/>
    <x v="9"/>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m/>
    <m/>
    <n v="69284527"/>
    <n v="69284527"/>
    <n v="0"/>
    <n v="0"/>
    <n v="0"/>
  </r>
  <r>
    <x v="0"/>
    <x v="4"/>
    <s v="Energía"/>
    <s v="Si"/>
    <n v="37"/>
    <s v="150-3"/>
    <s v="1 - Aumentar señales de expansión y cobertura del servicio de energía eléctrica."/>
    <x v="10"/>
    <s v="Documento de planeación validado"/>
    <n v="80111620"/>
    <x v="9"/>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468325"/>
    <n v="101468325"/>
    <s v="No"/>
    <s v="N/A"/>
    <s v="Jose Lenin Morillo Carrillo"/>
    <s v="Subdirector de Energía Eléctrica"/>
    <n v="6012220601"/>
    <s v="jose.morillo@upme.gov.co"/>
    <n v="92944600"/>
    <m/>
    <m/>
    <n v="4137000"/>
    <m/>
    <n v="8274000"/>
    <n v="2206400"/>
    <n v="8274000"/>
    <m/>
    <n v="8274000"/>
    <m/>
    <n v="8274000"/>
    <m/>
    <n v="8274000"/>
    <n v="6083350"/>
    <n v="8274000"/>
    <m/>
    <n v="8741950"/>
    <m/>
    <n v="9677850"/>
    <m/>
    <n v="9677850"/>
    <m/>
    <n v="19355700"/>
    <n v="233975"/>
    <n v="233975"/>
    <n v="101468325"/>
    <n v="101468325"/>
    <n v="0"/>
    <n v="0"/>
    <n v="0"/>
  </r>
  <r>
    <x v="0"/>
    <x v="4"/>
    <s v="Energía"/>
    <s v="Si"/>
    <n v="6"/>
    <s v="150-4"/>
    <s v="1 - Aumentar señales de expansión y cobertura del servicio de energía eléctrica."/>
    <x v="10"/>
    <s v="Documento de planeación validado"/>
    <n v="80111620"/>
    <x v="9"/>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m/>
    <m/>
    <n v="91014000"/>
    <n v="91014000"/>
    <n v="0"/>
    <n v="0"/>
    <n v="0"/>
  </r>
  <r>
    <x v="0"/>
    <x v="4"/>
    <s v="Energía"/>
    <s v="Si"/>
    <n v="37"/>
    <s v="150-5"/>
    <s v="1 - Aumentar señales de expansión y cobertura del servicio de energía eléctrica."/>
    <x v="10"/>
    <s v="Documento de planeación validado"/>
    <n v="80111620"/>
    <x v="9"/>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m/>
    <m/>
    <n v="73950000"/>
    <n v="73950000"/>
    <n v="0"/>
    <n v="0"/>
    <n v="0"/>
  </r>
  <r>
    <x v="0"/>
    <x v="4"/>
    <s v="Energía"/>
    <s v="Si"/>
    <n v="6"/>
    <s v="150-6"/>
    <s v="1 - Aumentar señales de expansión y cobertura del servicio de energía eléctrica."/>
    <x v="10"/>
    <s v="Documento de planeación validado"/>
    <n v="80111620"/>
    <x v="9"/>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m/>
    <m/>
    <n v="112872283"/>
    <n v="112872283"/>
    <n v="0"/>
    <n v="0"/>
    <n v="0"/>
  </r>
  <r>
    <x v="0"/>
    <x v="4"/>
    <s v="Energía"/>
    <s v="Si"/>
    <n v="42"/>
    <s v="150-7"/>
    <s v="1 - Aumentar señales de expansión y cobertura del servicio de energía eléctrica."/>
    <x v="10"/>
    <s v="Documento de planeación validado"/>
    <n v="80111620"/>
    <x v="9"/>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m/>
    <m/>
    <n v="77962500"/>
    <n v="77962500"/>
    <n v="0"/>
    <n v="0"/>
    <n v="0"/>
  </r>
  <r>
    <x v="0"/>
    <x v="4"/>
    <s v="Energía"/>
    <s v="Si"/>
    <n v="6"/>
    <s v="150-8"/>
    <s v="1 - Aumentar señales de expansión y cobertura del servicio de energía eléctrica."/>
    <x v="10"/>
    <s v="Documento de planeación validado"/>
    <n v="80111620"/>
    <x v="9"/>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m/>
    <m/>
    <n v="37393767"/>
    <n v="37393767"/>
    <n v="0"/>
    <n v="0"/>
    <n v="0"/>
  </r>
  <r>
    <x v="0"/>
    <x v="4"/>
    <s v="Energía"/>
    <s v="Si"/>
    <n v="6"/>
    <s v="150-9"/>
    <s v="1 - Aumentar señales de expansión y cobertura del servicio de energía eléctrica."/>
    <x v="10"/>
    <s v="Documento de planeación validado"/>
    <n v="80111620"/>
    <x v="9"/>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m/>
    <m/>
    <n v="69264000"/>
    <n v="69264000"/>
    <n v="0"/>
    <n v="0"/>
    <n v="0"/>
  </r>
  <r>
    <x v="0"/>
    <x v="4"/>
    <s v="Energía"/>
    <s v="Si"/>
    <s v="75 (30/12/2024)"/>
    <s v="150-10"/>
    <s v="1 - Aumentar señales de expansión y cobertura del servicio de energía eléctrica."/>
    <x v="10"/>
    <s v="Documento de planeación validado"/>
    <s v="N/A"/>
    <x v="9"/>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2000000"/>
    <n v="2000000"/>
    <n v="2000000"/>
    <n v="2000000"/>
    <n v="4000000"/>
    <n v="4251393"/>
    <n v="7054632.5999999996"/>
    <n v="7054632.5999999996"/>
    <n v="38930100"/>
    <n v="38930100"/>
    <n v="0"/>
    <n v="0"/>
    <n v="0"/>
  </r>
  <r>
    <x v="0"/>
    <x v="4"/>
    <s v="Energía"/>
    <s v="Si"/>
    <n v="6"/>
    <s v="150-11"/>
    <s v="1 - Aumentar señales de expansión y cobertura del servicio de energía eléctrica."/>
    <x v="10"/>
    <s v="Documento de planeación validado"/>
    <n v="80111620"/>
    <x v="9"/>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r>
  <r>
    <x v="0"/>
    <x v="4"/>
    <s v="Energía"/>
    <s v="Si"/>
    <n v="6"/>
    <s v="150-12"/>
    <s v="1 - Aumentar señales de expansión y cobertura del servicio de energía eléctrica."/>
    <x v="10"/>
    <s v="Documento de planeación validado"/>
    <n v="80111620"/>
    <x v="9"/>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1844456"/>
    <m/>
    <n v="11844456"/>
    <m/>
    <n v="11844456"/>
    <m/>
    <n v="24898806"/>
    <m/>
    <m/>
    <n v="137060867"/>
    <n v="137060867"/>
    <n v="0"/>
    <n v="0"/>
    <n v="0"/>
  </r>
  <r>
    <x v="0"/>
    <x v="4"/>
    <s v="Energía"/>
    <s v="Si"/>
    <n v="15"/>
    <s v="150-13"/>
    <s v="1 - Aumentar señales de expansión y cobertura del servicio de energía eléctrica."/>
    <x v="10"/>
    <s v="Documento de planeación validado"/>
    <n v="80111620"/>
    <x v="9"/>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m/>
    <m/>
    <n v="39561500"/>
    <n v="39561500"/>
    <n v="0"/>
    <n v="0"/>
    <n v="0"/>
  </r>
  <r>
    <x v="0"/>
    <x v="4"/>
    <s v="Energía"/>
    <s v="Si"/>
    <n v="6"/>
    <s v="150-14"/>
    <s v="1 - Aumentar señales de expansión y cobertura del servicio de energía eléctrica."/>
    <x v="10"/>
    <s v="Documento de planeación validado"/>
    <n v="80111620"/>
    <x v="9"/>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m/>
    <m/>
    <n v="28509520"/>
    <n v="28509520"/>
    <n v="0"/>
    <n v="0"/>
    <n v="0"/>
  </r>
  <r>
    <x v="0"/>
    <x v="4"/>
    <s v="Energía"/>
    <s v="Si"/>
    <n v="2"/>
    <s v="150-15"/>
    <s v="1 - Aumentar señales de expansión y cobertura del servicio de energía eléctrica."/>
    <x v="10"/>
    <s v="Documento de planeación validado"/>
    <n v="78111502"/>
    <x v="9"/>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45452318"/>
    <n v="45452318"/>
    <s v="No"/>
    <s v="N/A"/>
    <s v="Jose Lenin Morillo Carrillo"/>
    <s v="Subdirector de Energía Eléctrica"/>
    <n v="6012220601"/>
    <s v="jose.morillo@upme.gov.co"/>
    <m/>
    <m/>
    <m/>
    <m/>
    <m/>
    <m/>
    <m/>
    <m/>
    <m/>
    <m/>
    <n v="20000000"/>
    <m/>
    <m/>
    <m/>
    <m/>
    <n v="12568536"/>
    <m/>
    <m/>
    <n v="25452318"/>
    <n v="3246595"/>
    <m/>
    <n v="12986376"/>
    <m/>
    <n v="16650811"/>
    <m/>
    <m/>
    <n v="45452318"/>
    <n v="45452318"/>
    <n v="0"/>
    <n v="0"/>
    <n v="0"/>
  </r>
  <r>
    <x v="0"/>
    <x v="4"/>
    <s v="Energía"/>
    <s v="Si"/>
    <n v="6"/>
    <s v="150-16"/>
    <s v="1 - Aumentar señales de expansión y cobertura del servicio de energía eléctrica."/>
    <x v="10"/>
    <s v="Documento de planeación validado"/>
    <n v="80111620"/>
    <x v="9"/>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r>
  <r>
    <x v="0"/>
    <x v="4"/>
    <s v="Energía"/>
    <s v="Si"/>
    <n v="15"/>
    <s v="150-17"/>
    <s v="1 - Aumentar señales de expansión y cobertura del servicio de energía eléctrica."/>
    <x v="10"/>
    <s v="Documento de planeación validado"/>
    <n v="80111620"/>
    <x v="9"/>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500"/>
    <n v="62651500"/>
    <s v="No"/>
    <s v="N/A"/>
    <s v="Jose Lenin Morillo Carrillo"/>
    <s v="Subdirector de Energía Eléctrica"/>
    <n v="6012220601"/>
    <s v="jose.morillo@upme.gov.co"/>
    <n v="55050500"/>
    <m/>
    <m/>
    <n v="3510467"/>
    <m/>
    <n v="4787000"/>
    <n v="7600567"/>
    <n v="4787000"/>
    <m/>
    <n v="5507400"/>
    <m/>
    <n v="5507400"/>
    <m/>
    <n v="5507400"/>
    <m/>
    <n v="5507400"/>
    <m/>
    <n v="5507400"/>
    <m/>
    <n v="5507400"/>
    <m/>
    <n v="5507400"/>
    <m/>
    <n v="11015233"/>
    <n v="433"/>
    <m/>
    <n v="62651500"/>
    <n v="62651500"/>
    <n v="0"/>
    <n v="0"/>
    <n v="0"/>
  </r>
  <r>
    <x v="0"/>
    <x v="4"/>
    <s v="Energía"/>
    <s v="Si"/>
    <n v="20"/>
    <s v="150-18"/>
    <s v="1 - Aumentar señales de expansión y cobertura del servicio de energía eléctrica."/>
    <x v="10"/>
    <s v="Documento de planeación validado"/>
    <n v="80111620"/>
    <x v="9"/>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r>
  <r>
    <x v="0"/>
    <x v="4"/>
    <s v="Energía"/>
    <s v="Si"/>
    <n v="20"/>
    <s v="150-19"/>
    <s v="1 - Aumentar señales de expansión y cobertura del servicio de energía eléctrica."/>
    <x v="10"/>
    <s v="Documento de planeación validado"/>
    <n v="80111620"/>
    <x v="9"/>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m/>
    <m/>
    <n v="49105440"/>
    <n v="49105440"/>
    <n v="0"/>
    <n v="0"/>
    <n v="0"/>
  </r>
  <r>
    <x v="0"/>
    <x v="4"/>
    <s v="Energía"/>
    <s v="Si"/>
    <n v="20"/>
    <s v="150-20"/>
    <s v="1 - Aumentar señales de expansión y cobertura del servicio de energía eléctrica."/>
    <x v="10"/>
    <s v="Documento de planeación validado"/>
    <n v="80111620"/>
    <x v="9"/>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m/>
    <m/>
    <n v="87336160"/>
    <n v="87336160"/>
    <n v="0"/>
    <n v="0"/>
    <n v="0"/>
  </r>
  <r>
    <x v="0"/>
    <x v="4"/>
    <s v="Energía"/>
    <s v="Si"/>
    <n v="20"/>
    <s v="150-21"/>
    <s v="1 - Aumentar señales de expansión y cobertura del servicio de energía eléctrica."/>
    <x v="10"/>
    <s v="Documento de planeación validado"/>
    <n v="80111620"/>
    <x v="9"/>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m/>
    <m/>
    <n v="87336160"/>
    <n v="87336160"/>
    <n v="0"/>
    <n v="0"/>
    <n v="0"/>
  </r>
  <r>
    <x v="0"/>
    <x v="4"/>
    <s v="Energía"/>
    <s v="Si"/>
    <n v="6"/>
    <s v="150-22"/>
    <s v="1 - Aumentar señales de expansión y cobertura del servicio de energía eléctrica."/>
    <x v="10"/>
    <s v="Documento de planeación validado"/>
    <n v="80111620"/>
    <x v="9"/>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r>
  <r>
    <x v="0"/>
    <x v="4"/>
    <s v="Energía"/>
    <s v="Si"/>
    <n v="6"/>
    <s v="150-23"/>
    <s v="1 - Aumentar señales de expansión y cobertura del servicio de energía eléctrica."/>
    <x v="10"/>
    <s v="Documento de planeación validado"/>
    <n v="80111620"/>
    <x v="9"/>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r>
  <r>
    <x v="0"/>
    <x v="4"/>
    <s v="Energía"/>
    <s v="Si"/>
    <n v="19"/>
    <s v="150-24"/>
    <s v="1 - Aumentar señales de expansión y cobertura del servicio de energía eléctrica."/>
    <x v="10"/>
    <s v="Documento de planeación validado"/>
    <n v="80111620"/>
    <x v="9"/>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m/>
    <m/>
    <n v="2150330"/>
    <n v="2150330"/>
    <n v="0"/>
    <n v="0"/>
    <n v="0"/>
  </r>
  <r>
    <x v="0"/>
    <x v="4"/>
    <s v="Energía"/>
    <s v="Si"/>
    <n v="37"/>
    <s v="150-25"/>
    <s v="2 - Aumentar la oportunidad en la definición de obras y ejecución de los procesos de convocatorias."/>
    <x v="11"/>
    <s v="Estructurar los documentos técnicos y jurídicos para los procesos de convocatorias y subastas"/>
    <n v="80121601"/>
    <x v="10"/>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n v="13000000"/>
    <m/>
    <n v="13000000"/>
    <m/>
    <n v="28166667"/>
    <m/>
    <m/>
    <n v="130000000"/>
    <n v="130000000"/>
    <n v="0"/>
    <n v="0"/>
    <n v="0"/>
  </r>
  <r>
    <x v="0"/>
    <x v="4"/>
    <s v="Energía"/>
    <s v="Si"/>
    <n v="20"/>
    <s v="150-26"/>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m/>
    <m/>
    <n v="63660265"/>
    <n v="63660265"/>
    <n v="0"/>
    <n v="0"/>
    <n v="0"/>
  </r>
  <r>
    <x v="0"/>
    <x v="4"/>
    <s v="Energía"/>
    <s v="Si"/>
    <n v="15"/>
    <s v="150-27"/>
    <s v="1 - Aumentar señales de expansión y cobertura del servicio de energía eléctrica."/>
    <x v="10"/>
    <s v="Documento de planeación validado"/>
    <n v="80111620"/>
    <x v="9"/>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m/>
    <m/>
    <n v="7116755"/>
    <n v="7116755"/>
    <n v="0"/>
    <n v="0"/>
    <n v="0"/>
  </r>
  <r>
    <x v="0"/>
    <x v="4"/>
    <s v="Energía"/>
    <s v="Si"/>
    <n v="6"/>
    <s v="150-28"/>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7866500"/>
    <m/>
    <n v="7866500"/>
    <m/>
    <n v="17237325"/>
    <m/>
    <m/>
    <n v="92202533"/>
    <n v="92202533"/>
    <n v="0"/>
    <n v="0"/>
    <n v="0"/>
  </r>
  <r>
    <x v="0"/>
    <x v="4"/>
    <s v="Energía"/>
    <s v="Si"/>
    <n v="20"/>
    <s v="150-29"/>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m/>
    <m/>
    <n v="87318150"/>
    <n v="87318150"/>
    <n v="0"/>
    <n v="0"/>
    <n v="0"/>
  </r>
  <r>
    <x v="0"/>
    <x v="4"/>
    <s v="Energía"/>
    <s v="Si"/>
    <n v="20"/>
    <s v="150-30"/>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8866500"/>
    <m/>
    <n v="16237325"/>
    <m/>
    <m/>
    <n v="86958200"/>
    <n v="86958200"/>
    <n v="0"/>
    <n v="0"/>
    <n v="0"/>
  </r>
  <r>
    <x v="0"/>
    <x v="4"/>
    <s v="Energía"/>
    <s v="Si"/>
    <n v="6"/>
    <s v="150-31"/>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m/>
    <m/>
    <n v="79046500"/>
    <n v="79046500"/>
    <n v="0"/>
    <n v="0"/>
    <n v="0"/>
  </r>
  <r>
    <x v="0"/>
    <x v="4"/>
    <s v="Energía"/>
    <s v="Si"/>
    <n v="20"/>
    <s v="150-32"/>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r>
  <r>
    <x v="0"/>
    <x v="4"/>
    <s v="Energía"/>
    <s v="Si"/>
    <n v="6"/>
    <s v="150-33"/>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m/>
    <m/>
    <n v="79046500"/>
    <n v="79046500"/>
    <n v="0"/>
    <n v="0"/>
    <n v="0"/>
  </r>
  <r>
    <x v="0"/>
    <x v="4"/>
    <s v="Energía"/>
    <s v="Si"/>
    <n v="6"/>
    <s v="150-34"/>
    <s v="1 - Aumentar señales de expansión y cobertura del servicio de energía eléctrica."/>
    <x v="10"/>
    <s v="Documento de planeación validado"/>
    <n v="80111620"/>
    <x v="9"/>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5000000"/>
    <n v="85000000"/>
    <s v="No"/>
    <s v="N/A"/>
    <s v="Jose Lenin Morillo Carrillo"/>
    <s v="Subdirector de Energía Eléctrica"/>
    <n v="6012220601"/>
    <s v="jose.morillo@upme.gov.co"/>
    <m/>
    <m/>
    <n v="85000000"/>
    <m/>
    <m/>
    <n v="1416667"/>
    <m/>
    <n v="8500000"/>
    <m/>
    <n v="8500000"/>
    <m/>
    <n v="8500000"/>
    <m/>
    <n v="8500000"/>
    <m/>
    <n v="8500000"/>
    <m/>
    <n v="8500000"/>
    <m/>
    <n v="8500000"/>
    <m/>
    <n v="8500000"/>
    <m/>
    <n v="15583333"/>
    <m/>
    <m/>
    <n v="85000000"/>
    <n v="85000000"/>
    <n v="0"/>
    <n v="0"/>
    <n v="0"/>
  </r>
  <r>
    <x v="0"/>
    <x v="4"/>
    <s v="Energía"/>
    <s v="Si"/>
    <n v="44"/>
    <s v="150-35"/>
    <s v="1 - Aumentar señales de expansión y cobertura del servicio de energía eléctrica."/>
    <x v="10"/>
    <s v="Documento de planeación validado"/>
    <n v="80111620"/>
    <x v="9"/>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7005760"/>
    <n v="47005760"/>
    <s v="No"/>
    <s v="N/A"/>
    <s v="Jose Lenin Morillo Carrillo"/>
    <s v="Subdirector de Energía Eléctrica"/>
    <n v="6012220601"/>
    <s v="jose.morillo@upme.gov.co"/>
    <m/>
    <m/>
    <n v="66811333"/>
    <m/>
    <n v="-205573"/>
    <n v="4933760"/>
    <m/>
    <n v="6167200"/>
    <m/>
    <n v="6167200"/>
    <m/>
    <n v="6167200"/>
    <m/>
    <n v="6167200"/>
    <m/>
    <n v="6167200"/>
    <n v="-23640933"/>
    <n v="6167200"/>
    <m/>
    <m/>
    <n v="4040933"/>
    <m/>
    <m/>
    <n v="5068800"/>
    <m/>
    <m/>
    <n v="47005760"/>
    <n v="47005760"/>
    <n v="0"/>
    <n v="0"/>
    <n v="0"/>
  </r>
  <r>
    <x v="0"/>
    <x v="4"/>
    <s v="Energía"/>
    <s v="Si"/>
    <s v="75 (30/12/2024)"/>
    <s v="150-36"/>
    <s v="1 - Aumentar señales de expansión y cobertura del servicio de energía eléctrica."/>
    <x v="10"/>
    <s v="Documento de planeación validado"/>
    <n v="81112501"/>
    <x v="9"/>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55936690"/>
    <n v="355936690"/>
    <s v="No"/>
    <s v="N/A"/>
    <s v="Jose Lenin Morillo Carrillo"/>
    <s v="Subdirector de Energía Eléctrica"/>
    <n v="6012220601"/>
    <s v="jose.morillo@upme.gov.co"/>
    <m/>
    <m/>
    <m/>
    <m/>
    <m/>
    <m/>
    <m/>
    <m/>
    <m/>
    <m/>
    <m/>
    <m/>
    <m/>
    <m/>
    <m/>
    <m/>
    <m/>
    <m/>
    <n v="355936690"/>
    <n v="355936690"/>
    <m/>
    <m/>
    <m/>
    <m/>
    <m/>
    <m/>
    <n v="355936690"/>
    <n v="355936690"/>
    <n v="0"/>
    <n v="0"/>
    <n v="0"/>
  </r>
  <r>
    <x v="0"/>
    <x v="4"/>
    <s v="Energía"/>
    <s v="Si"/>
    <n v="39"/>
    <s v="150-37"/>
    <s v="1 - Aumentar señales de expansión y cobertura del servicio de energía eléctrica."/>
    <x v="10"/>
    <s v="Documento de planeación validado"/>
    <n v="81112501"/>
    <x v="9"/>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m/>
    <m/>
    <n v="0.47"/>
    <n v="0.47"/>
    <n v="615975043"/>
    <n v="615975043"/>
    <n v="0"/>
    <n v="0"/>
    <n v="0"/>
  </r>
  <r>
    <x v="0"/>
    <x v="4"/>
    <s v="Energía"/>
    <s v="Si"/>
    <n v="48"/>
    <s v="150-38"/>
    <s v="1 - Aumentar señales de expansión y cobertura del servicio de energía eléctrica."/>
    <x v="10"/>
    <s v="Documento de planeación validado"/>
    <n v="81112501"/>
    <x v="9"/>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630648274"/>
    <n v="630648274"/>
    <s v="No"/>
    <s v="N/A"/>
    <s v="Jose Lenin Morillo Carrillo"/>
    <s v="Subdirector de Energía Eléctrica"/>
    <n v="6012220601"/>
    <s v="jose.morillo@upme.gov.co"/>
    <m/>
    <m/>
    <m/>
    <m/>
    <m/>
    <m/>
    <m/>
    <m/>
    <m/>
    <m/>
    <m/>
    <m/>
    <m/>
    <m/>
    <m/>
    <m/>
    <m/>
    <m/>
    <m/>
    <m/>
    <n v="630648274"/>
    <m/>
    <m/>
    <n v="630648274"/>
    <m/>
    <m/>
    <n v="630648274"/>
    <n v="630648274"/>
    <n v="0"/>
    <n v="0"/>
    <n v="0"/>
  </r>
  <r>
    <x v="0"/>
    <x v="4"/>
    <s v="Energía"/>
    <s v="Si"/>
    <n v="6"/>
    <s v="150-39"/>
    <s v="1 - Aumentar señales de expansión y cobertura del servicio de energía eléctrica."/>
    <x v="10"/>
    <s v="Documento de planeación validado"/>
    <n v="93142104"/>
    <x v="9"/>
    <s v="Software - Licencias"/>
    <s v="150-39 Adquirir el servicio de suscripción online de la herramienta SAX para dos usuarios durante un año, incluyendo el soporte técnico general y específico."/>
    <s v="Octubre"/>
    <s v="Octubre"/>
    <s v="Noviembre"/>
    <n v="12"/>
    <s v="Meses"/>
    <s v="Contratación directa - único oferente"/>
    <s v="Propios - 20 - Ingresos corrientes"/>
    <n v="0"/>
    <n v="0"/>
    <s v="No"/>
    <s v="N/A"/>
    <s v="Jose Lenin Morillo Carrillo"/>
    <s v="Subdirector de Energía Eléctrica"/>
    <n v="6012220601"/>
    <s v="jose.morillo@upme.gov.co"/>
    <m/>
    <m/>
    <m/>
    <m/>
    <m/>
    <m/>
    <m/>
    <m/>
    <m/>
    <m/>
    <m/>
    <m/>
    <m/>
    <m/>
    <m/>
    <m/>
    <m/>
    <m/>
    <m/>
    <m/>
    <m/>
    <m/>
    <m/>
    <m/>
    <m/>
    <m/>
    <n v="0"/>
    <n v="0"/>
    <n v="0"/>
    <n v="0"/>
    <n v="0"/>
  </r>
  <r>
    <x v="0"/>
    <x v="4"/>
    <s v="Energía"/>
    <s v="Si"/>
    <n v="48"/>
    <s v="150-40"/>
    <s v="1 - Aumentar señales de expansión y cobertura del servicio de energía eléctrica."/>
    <x v="10"/>
    <s v="Documento de planeación validado"/>
    <s v="N/A"/>
    <x v="9"/>
    <s v="Planta temporal"/>
    <s v="150-40 Gastos de personal de los empleos de la planta temporal"/>
    <s v="Octubre"/>
    <s v="Octubre"/>
    <s v="Octubre"/>
    <n v="6"/>
    <s v="Meses"/>
    <s v="Contratación régimen especial - Régimen especial"/>
    <s v="Propios - 20 - Ingresos corrientes"/>
    <n v="153020300"/>
    <n v="153020300"/>
    <s v="No"/>
    <s v="N/A"/>
    <s v="Jose Lenin Morillo Carrillo"/>
    <s v="Subdirector de Energía Eléctrica"/>
    <n v="6012220601"/>
    <s v="jose.morillo@upme.gov.co"/>
    <m/>
    <m/>
    <m/>
    <m/>
    <m/>
    <m/>
    <m/>
    <m/>
    <m/>
    <m/>
    <m/>
    <m/>
    <m/>
    <m/>
    <m/>
    <m/>
    <m/>
    <m/>
    <m/>
    <m/>
    <n v="153020300"/>
    <m/>
    <m/>
    <n v="153020300"/>
    <m/>
    <m/>
    <n v="153020300"/>
    <n v="153020300"/>
    <n v="0"/>
    <n v="0"/>
    <n v="0"/>
  </r>
  <r>
    <x v="0"/>
    <x v="4"/>
    <s v="Energía"/>
    <s v="Si"/>
    <n v="28"/>
    <s v="150-41"/>
    <s v="1 - Aumentar señales de expansión y cobertura del servicio de energía eléctrica."/>
    <x v="10"/>
    <s v="Documento de planeación validado"/>
    <n v="80131500"/>
    <x v="9"/>
    <s v="Arrendamientos"/>
    <s v="150-41 Alquilar espacios de oficina (coworking) en virtud del proyecto de modernización organizacional para la Unidad de Planeación Minero Energética."/>
    <s v="Octubre"/>
    <s v="Octubre"/>
    <s v="Octubre"/>
    <n v="6"/>
    <s v="Meses"/>
    <s v="Contratación directa - Contratos de arrendamiento o adquisición de inmuebles"/>
    <s v="Propios - 20 - Ingresos corrientes"/>
    <n v="80325000"/>
    <n v="80325000"/>
    <s v="No"/>
    <s v="N/A"/>
    <s v="Jose Lenin Morillo Carrillo"/>
    <s v="Subdirector de Energía Eléctrica"/>
    <n v="6012220601"/>
    <s v="jose.morillo@upme.gov.co"/>
    <m/>
    <m/>
    <m/>
    <m/>
    <m/>
    <m/>
    <m/>
    <m/>
    <m/>
    <m/>
    <m/>
    <m/>
    <m/>
    <m/>
    <m/>
    <m/>
    <m/>
    <m/>
    <m/>
    <m/>
    <n v="17189550"/>
    <n v="17189550"/>
    <n v="17189550"/>
    <n v="17189550"/>
    <n v="45945900"/>
    <n v="45945900"/>
    <n v="80325000"/>
    <n v="80325000"/>
    <n v="0"/>
    <n v="0"/>
    <n v="0"/>
  </r>
  <r>
    <x v="0"/>
    <x v="4"/>
    <s v="Energía"/>
    <s v="Si"/>
    <n v="47"/>
    <s v="150-42"/>
    <s v="2 - Aumentar la oportunidad en la definición de obras y ejecución de los procesos de convocatorias."/>
    <x v="11"/>
    <s v="Monitorear los resultados e impactos de los proyectos en ejecución de los procesos de convocatorias y subastas"/>
    <s v="N/A"/>
    <x v="10"/>
    <s v="Planta temporal"/>
    <s v="150-42 Gastos de personal de los empleos de la planta temporal."/>
    <s v="Octubre"/>
    <s v="Octubre"/>
    <s v="Octubre"/>
    <n v="6"/>
    <s v="Meses"/>
    <s v="Contratación régimen especial - Régimen especial"/>
    <s v="Propios - 20 - Ingresos corrientes"/>
    <n v="14168835"/>
    <n v="14168835"/>
    <s v="No"/>
    <s v="N/A"/>
    <s v="Jose Lenin Morillo Carrillo"/>
    <s v="Subdirector de Energía Eléctrica"/>
    <n v="6012220601"/>
    <s v="jose.morillo@upme.gov.co"/>
    <m/>
    <m/>
    <m/>
    <m/>
    <m/>
    <m/>
    <m/>
    <m/>
    <m/>
    <m/>
    <m/>
    <m/>
    <m/>
    <m/>
    <m/>
    <m/>
    <m/>
    <m/>
    <m/>
    <m/>
    <n v="14168835"/>
    <m/>
    <m/>
    <n v="14168835"/>
    <m/>
    <m/>
    <n v="14168835"/>
    <n v="14168835"/>
    <n v="0"/>
    <n v="0"/>
    <n v="0"/>
  </r>
  <r>
    <x v="0"/>
    <x v="4"/>
    <s v="Energía"/>
    <s v="Si"/>
    <n v="16"/>
    <s v="150-43"/>
    <s v="1 - Aumentar señales de expansión y cobertura del servicio de energía eléctrica."/>
    <x v="10"/>
    <s v="Documento de planeación validado"/>
    <n v="81101516"/>
    <x v="9"/>
    <s v="Consultoría"/>
    <s v="150-43 Consultoria para la determinación de las viviendas sin servicios en el marco del cálculo del índice de cobertura."/>
    <s v="Junio"/>
    <s v="Junio"/>
    <s v="Julio"/>
    <n v="1"/>
    <s v="Meses"/>
    <s v="Contratación régimen especial (con ofertas) - Régimen especial"/>
    <s v="Propios - 20 - Ingresos corrientes"/>
    <n v="0"/>
    <n v="0"/>
    <s v="No"/>
    <s v="N/A"/>
    <s v="Jose Lenin Morillo Carrillo"/>
    <s v="Subdirector de Energía Eléctrica"/>
    <n v="6012220601"/>
    <s v="jose.morillo@upme.gov.co"/>
    <m/>
    <m/>
    <m/>
    <m/>
    <m/>
    <m/>
    <m/>
    <m/>
    <m/>
    <m/>
    <m/>
    <m/>
    <m/>
    <m/>
    <m/>
    <m/>
    <m/>
    <m/>
    <m/>
    <m/>
    <m/>
    <m/>
    <m/>
    <m/>
    <m/>
    <m/>
    <n v="0"/>
    <n v="0"/>
    <n v="0"/>
    <n v="0"/>
    <n v="0"/>
  </r>
  <r>
    <x v="0"/>
    <x v="4"/>
    <s v="Energía"/>
    <s v="Si"/>
    <n v="37"/>
    <s v="150-44"/>
    <s v="1 - Aumentar señales de expansión y cobertura del servicio de energía eléctrica."/>
    <x v="10"/>
    <s v="Documento de planeación validado"/>
    <n v="80111620"/>
    <x v="9"/>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m/>
    <m/>
    <n v="79046500"/>
    <n v="79046500"/>
    <n v="0"/>
    <n v="0"/>
    <n v="0"/>
  </r>
  <r>
    <x v="0"/>
    <x v="4"/>
    <s v="Energía"/>
    <s v="Si"/>
    <n v="37"/>
    <s v="150-45"/>
    <s v="1 - Aumentar señales de expansión y cobertura del servicio de energía eléctrica."/>
    <x v="10"/>
    <s v="Documento de planeación validado"/>
    <n v="80111620"/>
    <x v="9"/>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836420"/>
    <n v="243220"/>
    <m/>
    <n v="80505820"/>
    <n v="80505820"/>
    <n v="0"/>
    <n v="0"/>
    <n v="0"/>
  </r>
  <r>
    <x v="0"/>
    <x v="4"/>
    <s v="Energía"/>
    <s v="Si"/>
    <n v="37"/>
    <s v="150-46"/>
    <s v="1 - Aumentar señales de expansión y cobertura del servicio de energía eléctrica."/>
    <x v="10"/>
    <s v="Documento de planeación validado"/>
    <n v="80111620"/>
    <x v="9"/>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836420"/>
    <n v="243220"/>
    <m/>
    <n v="80505820"/>
    <n v="80505820"/>
    <n v="0"/>
    <n v="0"/>
    <n v="0"/>
  </r>
  <r>
    <x v="0"/>
    <x v="4"/>
    <s v="Energía"/>
    <s v="Si"/>
    <n v="37"/>
    <s v="150-47"/>
    <s v="1 - Aumentar señales de expansión y cobertura del servicio de energía eléctrica."/>
    <x v="10"/>
    <s v="Documento de planeación validado"/>
    <n v="80111620"/>
    <x v="9"/>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m/>
    <m/>
    <n v="80262600"/>
    <n v="80262600"/>
    <n v="0"/>
    <n v="0"/>
    <n v="0"/>
  </r>
  <r>
    <x v="0"/>
    <x v="4"/>
    <s v="Energía"/>
    <s v="Si"/>
    <n v="37"/>
    <s v="150-48"/>
    <s v="1 - Aumentar señales de expansión y cobertura del servicio de energía eléctrica."/>
    <x v="10"/>
    <s v="Documento de planeación validado"/>
    <n v="80111620"/>
    <x v="9"/>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836420"/>
    <n v="243220"/>
    <m/>
    <n v="80505820"/>
    <n v="80505820"/>
    <n v="0"/>
    <n v="0"/>
    <n v="0"/>
  </r>
  <r>
    <x v="0"/>
    <x v="4"/>
    <s v="Energía"/>
    <s v="Si"/>
    <n v="41"/>
    <s v="150-49"/>
    <s v="1 - Aumentar señales de expansión y cobertura del servicio de energía eléctrica."/>
    <x v="10"/>
    <s v="Documento de planeación validado"/>
    <n v="80111620"/>
    <x v="9"/>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m/>
    <m/>
    <n v="49732740"/>
    <n v="49732740"/>
    <n v="0"/>
    <n v="0"/>
    <n v="0"/>
  </r>
  <r>
    <x v="0"/>
    <x v="4"/>
    <s v="Energía"/>
    <s v="Si"/>
    <n v="20"/>
    <s v="150-50"/>
    <s v="1 - Aumentar señales de expansión y cobertura del servicio de energía eléctrica."/>
    <x v="10"/>
    <s v="Documento de planeación validado"/>
    <n v="80111620"/>
    <x v="9"/>
    <s v="Prestación de servicios profesionales y/o de apoyo a la gestión"/>
    <s v="150-50 Prestar los servicios profesionales para apoyar el seguimiento el seguimiento a la ejecución de los proyectos de nivel de tensión iv que corresponde a la upme y las solicitudes de conexión según la resolución creg 075 de 2021 , así como los procedi"/>
    <s v="Enero"/>
    <s v="Enero"/>
    <s v="Enero"/>
    <n v="11"/>
    <s v="Meses"/>
    <s v="Contratación directa - Prestación de servicios profesionales"/>
    <s v="Propios - 20 - Ingresos corrientes"/>
    <n v="40967650"/>
    <n v="40967650"/>
    <s v="No"/>
    <s v="N/A"/>
    <s v="Jose Lenin Morillo Carrillo"/>
    <s v="Subdirector de Energía Eléctrica"/>
    <n v="6012220601"/>
    <s v="jose.morillo@upme.gov.co"/>
    <m/>
    <m/>
    <n v="41343500"/>
    <m/>
    <n v="-375850"/>
    <n v="3382650"/>
    <m/>
    <n v="3758500"/>
    <m/>
    <n v="3758500"/>
    <m/>
    <n v="3758500"/>
    <m/>
    <n v="3758500"/>
    <m/>
    <n v="3758500"/>
    <m/>
    <n v="3758500"/>
    <m/>
    <n v="3758500"/>
    <m/>
    <n v="3758500"/>
    <m/>
    <n v="7517000"/>
    <m/>
    <m/>
    <n v="40967650"/>
    <n v="40967650"/>
    <n v="0"/>
    <n v="0"/>
    <n v="0"/>
  </r>
  <r>
    <x v="0"/>
    <x v="4"/>
    <s v="Energía"/>
    <s v="Si"/>
    <n v="20"/>
    <s v="150-51"/>
    <s v="1 - Aumentar señales de expansión y cobertura del servicio de energía eléctrica."/>
    <x v="10"/>
    <s v="Documento de planeación validado"/>
    <n v="80111620"/>
    <x v="9"/>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144280"/>
    <n v="35144280"/>
    <s v="No"/>
    <s v="N/A"/>
    <s v="Jose Lenin Morillo Carrillo"/>
    <s v="Subdirector de Energía Eléctrica"/>
    <n v="6012220601"/>
    <s v="jose.morillo@upme.gov.co"/>
    <m/>
    <m/>
    <n v="35252750"/>
    <m/>
    <m/>
    <n v="2603280"/>
    <n v="-108470"/>
    <n v="3254100"/>
    <m/>
    <n v="3254100"/>
    <m/>
    <n v="3254100"/>
    <m/>
    <n v="3254100"/>
    <m/>
    <n v="3254100"/>
    <m/>
    <n v="3254100"/>
    <m/>
    <n v="3254100"/>
    <m/>
    <n v="3254100"/>
    <m/>
    <n v="6508200"/>
    <m/>
    <m/>
    <n v="35144280"/>
    <n v="35144280"/>
    <n v="0"/>
    <n v="0"/>
    <n v="0"/>
  </r>
  <r>
    <x v="0"/>
    <x v="4"/>
    <s v="Energía"/>
    <s v="Si"/>
    <n v="15"/>
    <s v="150-52"/>
    <s v="1 - Aumentar señales de expansión y cobertura del servicio de energía eléctrica."/>
    <x v="10"/>
    <s v="Documento de planeación validado"/>
    <n v="80111620"/>
    <x v="9"/>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m/>
    <m/>
    <n v="68536800"/>
    <n v="68536800"/>
    <n v="0"/>
    <n v="0"/>
    <n v="0"/>
  </r>
  <r>
    <x v="0"/>
    <x v="4"/>
    <s v="Energía"/>
    <s v="Si"/>
    <n v="20"/>
    <s v="150-53"/>
    <s v="1 - Aumentar señales de expansión y cobertura del servicio de energía eléctrica."/>
    <x v="10"/>
    <s v="Documento de planeación validado"/>
    <n v="80111620"/>
    <x v="9"/>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m/>
    <m/>
    <n v="67902200"/>
    <n v="67902200"/>
    <n v="0"/>
    <n v="0"/>
    <n v="0"/>
  </r>
  <r>
    <x v="0"/>
    <x v="4"/>
    <s v="Energía"/>
    <s v="Si"/>
    <n v="20"/>
    <s v="150-54"/>
    <s v="1 - Aumentar señales de expansión y cobertura del servicio de energía eléctrica."/>
    <x v="10"/>
    <s v="Documento de planeación validado"/>
    <n v="80111620"/>
    <x v="9"/>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m/>
    <m/>
    <n v="53300380"/>
    <n v="53300380"/>
    <n v="0"/>
    <n v="0"/>
    <n v="0"/>
  </r>
  <r>
    <x v="0"/>
    <x v="4"/>
    <s v="Energía"/>
    <s v="Si"/>
    <n v="15"/>
    <s v="150-55"/>
    <s v="1 - Aumentar señales de expansión y cobertura del servicio de energía eléctrica."/>
    <x v="10"/>
    <s v="Documento de planeación validado"/>
    <n v="80111620"/>
    <x v="9"/>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m/>
    <m/>
    <n v="10400000"/>
    <n v="10400000"/>
    <n v="0"/>
    <n v="0"/>
    <n v="0"/>
  </r>
  <r>
    <x v="0"/>
    <x v="4"/>
    <s v="Energía"/>
    <s v="Si"/>
    <n v="15"/>
    <s v="150-56"/>
    <s v="1 - Aumentar señales de expansión y cobertura del servicio de energía eléctrica."/>
    <x v="10"/>
    <s v="Documento de planeación validado"/>
    <n v="80111620"/>
    <x v="9"/>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m/>
    <m/>
    <n v="19221955"/>
    <n v="19221955"/>
    <n v="0"/>
    <n v="0"/>
    <n v="0"/>
  </r>
  <r>
    <x v="0"/>
    <x v="4"/>
    <s v="Energía"/>
    <s v="Si"/>
    <n v="15"/>
    <s v="150-57"/>
    <s v="1 - Aumentar señales de expansión y cobertura del servicio de energía eléctrica."/>
    <x v="10"/>
    <s v="Documento de planeación validado"/>
    <n v="80111620"/>
    <x v="9"/>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m/>
    <m/>
    <n v="19221955"/>
    <n v="19221955"/>
    <n v="0"/>
    <n v="0"/>
    <n v="0"/>
  </r>
  <r>
    <x v="0"/>
    <x v="4"/>
    <s v="Energía"/>
    <s v="Si"/>
    <n v="28"/>
    <s v="150-58"/>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m/>
    <m/>
    <n v="52416881"/>
    <n v="52416881"/>
    <n v="0"/>
    <n v="0"/>
    <n v="0"/>
  </r>
  <r>
    <x v="0"/>
    <x v="4"/>
    <s v="Energía"/>
    <s v="Si"/>
    <n v="15"/>
    <s v="150-59"/>
    <s v="1 - Aumentar señales de expansión y cobertura del servicio de energía eléctrica"/>
    <x v="10"/>
    <s v="Documento de planeación validado"/>
    <n v="43233501"/>
    <x v="9"/>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m/>
    <m/>
    <n v="41647648"/>
    <n v="41647648"/>
    <n v="0"/>
    <n v="0"/>
    <n v="0"/>
  </r>
  <r>
    <x v="0"/>
    <x v="4"/>
    <s v="Energía"/>
    <s v="Si"/>
    <n v="47"/>
    <s v="150-60"/>
    <s v="1 - Aumentar señales de expansión y cobertura del servicio de energía eléctrica"/>
    <x v="10"/>
    <s v="Documento de planeación validado"/>
    <n v="43233600"/>
    <x v="9"/>
    <s v="Prestación de servicios profesionales y/o de apoyo a la gestión"/>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n v="95831166"/>
    <m/>
    <m/>
    <n v="95831166"/>
    <m/>
    <m/>
    <m/>
    <m/>
    <n v="95831166"/>
    <n v="95831166"/>
    <n v="0"/>
    <n v="0"/>
    <n v="0"/>
  </r>
  <r>
    <x v="0"/>
    <x v="4"/>
    <s v="Energía"/>
    <s v="Si"/>
    <n v="48"/>
    <s v="150-61"/>
    <s v="1 - Aumentar señales de expansión y cobertura del servicio de energía eléctrica"/>
    <x v="10"/>
    <s v="Documento de planeación validado"/>
    <n v="80111620"/>
    <x v="9"/>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m/>
    <m/>
    <n v="16000000"/>
    <m/>
    <m/>
    <n v="16000000"/>
    <m/>
    <m/>
    <n v="16000000"/>
    <n v="16000000"/>
    <n v="0"/>
    <n v="0"/>
    <n v="0"/>
  </r>
  <r>
    <x v="0"/>
    <x v="4"/>
    <s v="Energía"/>
    <s v="Si"/>
    <n v="16"/>
    <s v="150-62"/>
    <s v="1 - Aumentar señales de expansión y cobertura del servicio de energía eléctrica"/>
    <x v="10"/>
    <s v="Documento de planeación validado"/>
    <n v="80111620"/>
    <x v="9"/>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Octubre"/>
    <s v="Octubre"/>
    <s v="Octubre"/>
    <n v="2"/>
    <s v="Meses"/>
    <s v="Contratación directa - Prestación de servicios profesionales"/>
    <s v="Propios - 20 - Ingresos corrientes"/>
    <n v="14032000"/>
    <n v="14032000"/>
    <s v="No"/>
    <s v="N/A"/>
    <s v="Jose Lenin Morillo Carrillo"/>
    <s v="Subdirector de Energía Eléctrica"/>
    <n v="6012220601"/>
    <s v="jose.morillo@upme.gov.co"/>
    <m/>
    <m/>
    <m/>
    <m/>
    <m/>
    <m/>
    <m/>
    <m/>
    <m/>
    <m/>
    <m/>
    <m/>
    <m/>
    <m/>
    <m/>
    <m/>
    <m/>
    <m/>
    <m/>
    <m/>
    <n v="14032000"/>
    <m/>
    <m/>
    <n v="14032000"/>
    <m/>
    <m/>
    <n v="14032000"/>
    <n v="14032000"/>
    <n v="0"/>
    <n v="0"/>
    <n v="0"/>
  </r>
  <r>
    <x v="0"/>
    <x v="4"/>
    <s v="Energía"/>
    <s v="Si"/>
    <n v="16"/>
    <s v="150-63"/>
    <s v="1 - Aumentar señales de expansión y cobertura del servicio de energía eléctrica"/>
    <x v="10"/>
    <s v="Documento de planeación validado"/>
    <n v="80111620"/>
    <x v="9"/>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Octubre"/>
    <s v="Octubre"/>
    <s v="Octubre"/>
    <n v="2"/>
    <s v="Meses"/>
    <s v="Contratación directa - Prestación de servicios profesionales"/>
    <s v="Propios - 20 - Ingresos corrientes"/>
    <n v="6258000"/>
    <n v="6258000"/>
    <s v="No"/>
    <s v="N/A"/>
    <s v="Jose Lenin Morillo Carrillo"/>
    <s v="Subdirector de Energía Eléctrica"/>
    <n v="6012220601"/>
    <s v="jose.morillo@upme.gov.co"/>
    <m/>
    <m/>
    <m/>
    <m/>
    <m/>
    <m/>
    <m/>
    <m/>
    <m/>
    <m/>
    <m/>
    <m/>
    <m/>
    <m/>
    <m/>
    <m/>
    <m/>
    <m/>
    <m/>
    <m/>
    <n v="6258000"/>
    <n v="3129000"/>
    <m/>
    <n v="3129000"/>
    <m/>
    <m/>
    <n v="6258000"/>
    <n v="6258000"/>
    <n v="0"/>
    <n v="0"/>
    <n v="0"/>
  </r>
  <r>
    <x v="0"/>
    <x v="4"/>
    <s v="Energía"/>
    <s v="Si"/>
    <n v="16"/>
    <s v="150-64"/>
    <s v="1 - Aumentar señales de expansión y cobertura del servicio de energía eléctrica"/>
    <x v="10"/>
    <s v="Documento de planeación validado"/>
    <n v="80111620"/>
    <x v="9"/>
    <s v="Prestación de servicios profesionales y/o de apoyo a la gestión"/>
    <s v="150-64 Prestar servicios profesionales para apoyar la actualización de las herramientas ofimaticas del grupo de generación y cobertura, así como participar de los análisis para el plan de generación "/>
    <s v="Octubre"/>
    <s v="Octubre"/>
    <s v="Octu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m/>
    <m/>
    <n v="9970000"/>
    <n v="4985000"/>
    <m/>
    <n v="4985000"/>
    <m/>
    <m/>
    <n v="9970000"/>
    <n v="9970000"/>
    <n v="0"/>
    <n v="0"/>
    <n v="0"/>
  </r>
  <r>
    <x v="0"/>
    <x v="4"/>
    <s v="Energía"/>
    <s v="Si"/>
    <n v="46"/>
    <s v="150-65"/>
    <s v="1 - Aumentar señales de expansión y cobertura del servicio de energía eléctrica"/>
    <x v="10"/>
    <s v="Documento de planeación validado"/>
    <n v="80111620"/>
    <x v="9"/>
    <s v="Prestación de servicios profesionales y/o de apoyo a la gestión"/>
    <s v="150-65 Prestar servicios profesionales para adelantar el análisis y procesamiento de la información tecnica relacionada con el desarrollo y la ejecución de los proyectos de transmisión objeto de convocatoria pública en la etapa de ejecución"/>
    <s v="Octubre"/>
    <s v="Octubre"/>
    <s v="Octubre"/>
    <n v="2"/>
    <s v="Meses"/>
    <s v="Contratación directa - Prestación de servicios profesionales"/>
    <s v="Propios - 20 - Ingresos corrientes"/>
    <n v="4331963"/>
    <n v="4331963"/>
    <s v="No"/>
    <s v="N/A"/>
    <s v="Jose Lenin Morillo Carrillo"/>
    <s v="Subdirector de Energía Eléctrica"/>
    <n v="6012220601"/>
    <s v="jose.morillo@upme.gov.co"/>
    <m/>
    <m/>
    <m/>
    <m/>
    <m/>
    <m/>
    <m/>
    <m/>
    <m/>
    <m/>
    <m/>
    <m/>
    <m/>
    <m/>
    <m/>
    <m/>
    <m/>
    <m/>
    <m/>
    <m/>
    <n v="4331963"/>
    <n v="4331963"/>
    <m/>
    <m/>
    <m/>
    <m/>
    <n v="4331963"/>
    <n v="4331963"/>
    <n v="0"/>
    <n v="0"/>
    <n v="0"/>
  </r>
  <r>
    <x v="0"/>
    <x v="4"/>
    <s v="Energía"/>
    <s v="Si"/>
    <n v="28"/>
    <s v="150-66"/>
    <s v="1 - Aumentar señales de expansión y cobertura del servicio de energía eléctrica"/>
    <x v="10"/>
    <s v="Documento de planeación validado"/>
    <n v="80111620"/>
    <x v="9"/>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m/>
    <m/>
    <n v="81066666"/>
    <n v="81066666"/>
    <n v="0"/>
    <n v="0"/>
    <n v="0"/>
  </r>
  <r>
    <x v="0"/>
    <x v="4"/>
    <s v="Energía"/>
    <s v="Si"/>
    <n v="46"/>
    <s v="150-67"/>
    <s v="1 - Aumentar señales de expansión y cobertura del servicio de energía eléctrica"/>
    <x v="10"/>
    <s v="Documento de planeación validado"/>
    <n v="81111801"/>
    <x v="9"/>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m/>
    <m/>
    <n v="20693526"/>
    <n v="20693526"/>
    <n v="0"/>
    <n v="0"/>
    <n v="0"/>
  </r>
  <r>
    <x v="0"/>
    <x v="4"/>
    <s v="Energía"/>
    <s v="Si"/>
    <n v="46"/>
    <s v="150-68"/>
    <s v="2 - Aumentar la oportunidad en la definición de obras y ejecución de los procesos de convocatorias."/>
    <x v="11"/>
    <s v="Monitorear los resultados e impactos de los proyectos en ejecución de los procesos de convocatorias y subastas"/>
    <n v="81111801"/>
    <x v="10"/>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n v="3941700"/>
    <m/>
    <m/>
    <m/>
    <m/>
    <n v="3941700"/>
    <n v="3941700"/>
    <n v="0"/>
    <n v="0"/>
    <n v="0"/>
  </r>
  <r>
    <x v="0"/>
    <x v="4"/>
    <s v="Energía"/>
    <s v="Si"/>
    <n v="42"/>
    <s v="150-69"/>
    <s v="1 - Aumentar señales de expansión y cobertura del servicio de energía eléctrica"/>
    <x v="10"/>
    <s v="Documento de planeación validado"/>
    <n v="80111620"/>
    <x v="9"/>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Septiembre"/>
    <s v="Octubre"/>
    <s v="Noviembre"/>
    <n v="8"/>
    <s v="Meses"/>
    <s v="Contratación directa - Prestación de servicios profesionales"/>
    <s v="Propios - 20 - Ingresos corrientes"/>
    <n v="426834"/>
    <n v="426834"/>
    <s v="No"/>
    <s v="N/A"/>
    <s v="Jose Lenin Morillo Carrillo"/>
    <s v="Subdirector de Energía Eléctrica"/>
    <n v="6012220601"/>
    <s v="jose.morillo@upme.gov.co"/>
    <m/>
    <m/>
    <m/>
    <m/>
    <m/>
    <m/>
    <m/>
    <m/>
    <m/>
    <m/>
    <m/>
    <m/>
    <m/>
    <m/>
    <m/>
    <m/>
    <m/>
    <m/>
    <m/>
    <m/>
    <m/>
    <m/>
    <m/>
    <m/>
    <n v="426834"/>
    <n v="426834"/>
    <n v="426834"/>
    <n v="426834"/>
    <n v="0"/>
    <n v="0"/>
    <n v="0"/>
  </r>
  <r>
    <x v="0"/>
    <x v="4"/>
    <s v="Energía"/>
    <s v="Si"/>
    <n v="42"/>
    <s v="150-70"/>
    <s v="1 - Aumentar señales de expansión y cobertura del servicio de energía eléctrica"/>
    <x v="10"/>
    <s v="Documento de planeación validado"/>
    <n v="80111620"/>
    <x v="9"/>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Septiembre"/>
    <s v="Septiembre"/>
    <s v="Octubre"/>
    <n v="3"/>
    <s v="Meses"/>
    <s v="Contratación directa - Prestación de servicios profesionales"/>
    <s v="Propios - 20 - Ingresos corrientes"/>
    <n v="29862638"/>
    <n v="29862638"/>
    <s v="No"/>
    <s v="N/A"/>
    <s v="Jose Lenin Morillo Carrillo"/>
    <s v="Subdirector de Energía Eléctrica"/>
    <n v="6012220601"/>
    <s v="jose.morillo@upme.gov.co"/>
    <m/>
    <m/>
    <m/>
    <m/>
    <m/>
    <m/>
    <m/>
    <m/>
    <m/>
    <m/>
    <m/>
    <m/>
    <m/>
    <m/>
    <m/>
    <m/>
    <m/>
    <m/>
    <m/>
    <m/>
    <n v="29862638"/>
    <n v="7465659.5"/>
    <m/>
    <n v="22396978.5"/>
    <m/>
    <m/>
    <n v="29862638"/>
    <n v="29862638"/>
    <n v="0"/>
    <n v="0"/>
    <n v="0"/>
  </r>
  <r>
    <x v="0"/>
    <x v="4"/>
    <s v="Energía"/>
    <s v="Si"/>
    <n v="20"/>
    <s v="150-71"/>
    <s v="1 - Aumentar señales de expansión y cobertura del servicio de energía eléctrica"/>
    <x v="10"/>
    <s v="Documento de planeación validado"/>
    <s v="78102203;78102206"/>
    <x v="9"/>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n v="6250000"/>
    <m/>
    <n v="6250000"/>
    <m/>
    <n v="28453300"/>
    <m/>
    <m/>
    <n v="45994500"/>
    <n v="45994500"/>
    <n v="0"/>
    <n v="0"/>
    <n v="0"/>
  </r>
  <r>
    <x v="0"/>
    <x v="4"/>
    <s v="Energía"/>
    <s v="Si"/>
    <n v="20"/>
    <s v="150-72"/>
    <s v="2 - Aumentar la oportunidad en la definición de obras y ejecución de los procesos de convocatorias."/>
    <x v="11"/>
    <s v="Monitorear los resultados e impactos de los proyectos en ejecución de los procesos de convocatorias y subastas"/>
    <s v="78102203;78102206"/>
    <x v="10"/>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m/>
    <m/>
    <n v="4005500"/>
    <n v="4005500"/>
    <n v="0"/>
    <n v="0"/>
    <n v="0"/>
  </r>
  <r>
    <x v="0"/>
    <x v="4"/>
    <s v="Energía"/>
    <s v="Si"/>
    <n v="37"/>
    <s v="150-73"/>
    <s v="1 - Aumentar señales de expansión y cobertura del servicio de energía eléctrica."/>
    <x v="10"/>
    <s v="Documento de planeación validado"/>
    <n v="80111620"/>
    <x v="9"/>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m/>
    <m/>
    <n v="1144453"/>
    <n v="1144453"/>
    <n v="0"/>
    <n v="0"/>
    <n v="0"/>
  </r>
  <r>
    <x v="0"/>
    <x v="4"/>
    <s v="Energía"/>
    <s v="Si"/>
    <n v="33"/>
    <s v="150-74"/>
    <s v="1 - Aumentar señales de expansión y cobertura del servicio de energía eléctrica"/>
    <x v="10"/>
    <s v="Documento de planeación validado"/>
    <n v="55101519"/>
    <x v="9"/>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000000"/>
    <m/>
    <n v="1000000"/>
    <m/>
    <n v="3000000"/>
    <m/>
    <m/>
    <n v="5000000"/>
    <n v="5000000"/>
    <n v="0"/>
    <n v="0"/>
    <n v="0"/>
  </r>
  <r>
    <x v="0"/>
    <x v="4"/>
    <s v="Energía"/>
    <s v="Si"/>
    <n v="37"/>
    <s v="150-75"/>
    <s v="2 - Aumentar la oportunidad en la definición de obras y ejecución de los procesos de convocatorias."/>
    <x v="11"/>
    <s v="Estructurar los documentos técnicos y jurídicos para los procesos de convocatorias y subastas"/>
    <n v="80111620"/>
    <x v="10"/>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6358400"/>
    <n v="6358400"/>
    <s v="No"/>
    <s v="N/A"/>
    <s v="Carlos Alberto Rodriguez"/>
    <s v="Subdirector de Energía Eléctrica "/>
    <n v="6012220601"/>
    <s v="carlos.rodriguez@upme.gov.co"/>
    <m/>
    <m/>
    <m/>
    <m/>
    <m/>
    <m/>
    <m/>
    <m/>
    <m/>
    <m/>
    <m/>
    <m/>
    <m/>
    <m/>
    <m/>
    <m/>
    <n v="291733"/>
    <m/>
    <m/>
    <n v="291733"/>
    <m/>
    <m/>
    <m/>
    <m/>
    <n v="6066667"/>
    <n v="6066667"/>
    <n v="6358400"/>
    <n v="6358400"/>
    <n v="0"/>
    <n v="0"/>
    <n v="0"/>
  </r>
  <r>
    <x v="0"/>
    <x v="4"/>
    <s v="Energía"/>
    <s v="Si"/>
    <n v="46"/>
    <s v="150-76"/>
    <s v="1 - Aumentar señales de expansión y cobertura del servicio de energía eléctrica"/>
    <x v="10"/>
    <s v="Documento de planeación validado"/>
    <n v="80111620"/>
    <x v="9"/>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660400"/>
    <m/>
    <n v="660400"/>
    <m/>
    <n v="1320800"/>
    <m/>
    <m/>
    <n v="2641600"/>
    <n v="2641600"/>
    <n v="0"/>
    <n v="0"/>
    <n v="0"/>
  </r>
  <r>
    <x v="0"/>
    <x v="4"/>
    <s v="Energía"/>
    <s v="Si"/>
    <n v="39"/>
    <s v="150-77"/>
    <s v="1 - Aumentar señales de expansión y cobertura del servicio de energía eléctrica"/>
    <x v="10"/>
    <s v="Documento de planeación validado"/>
    <n v="81112501"/>
    <x v="9"/>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n v="60000000"/>
    <m/>
    <n v="60000000"/>
    <m/>
    <n v="60000000"/>
    <m/>
    <m/>
    <n v="180000000"/>
    <n v="180000000"/>
    <n v="0"/>
    <n v="0"/>
    <n v="0"/>
  </r>
  <r>
    <x v="0"/>
    <x v="4"/>
    <s v="Energía"/>
    <s v="Si"/>
    <n v="42"/>
    <s v="150-78"/>
    <s v="2 - Aumentar la oportunidad en la definición de obras y ejecución de los procesos de convocatorias."/>
    <x v="11"/>
    <s v="Monitorear los resultados e impactos de los proyectos en ejecución de los procesos de convocatorias y subastas"/>
    <n v="81112501"/>
    <x v="10"/>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Septiembre"/>
    <s v="Octubre"/>
    <s v="Noviembre"/>
    <n v="12"/>
    <s v="Meses"/>
    <s v="Contratación directa"/>
    <s v="Propios - 20 - Ingresos corrientes"/>
    <n v="7084417"/>
    <n v="7084417"/>
    <s v="No"/>
    <s v="N/A"/>
    <s v="Carlos Alberto Rodriguez"/>
    <s v="Subdirector de Energía Eléctrica "/>
    <n v="6012220601"/>
    <s v="carlos.rodriguez@upme.gov.co"/>
    <m/>
    <m/>
    <m/>
    <m/>
    <m/>
    <m/>
    <m/>
    <m/>
    <m/>
    <m/>
    <m/>
    <m/>
    <m/>
    <m/>
    <m/>
    <m/>
    <m/>
    <m/>
    <m/>
    <m/>
    <n v="7084417"/>
    <m/>
    <m/>
    <n v="7084417"/>
    <m/>
    <m/>
    <n v="7084417"/>
    <n v="7084417"/>
    <n v="0"/>
    <n v="0"/>
    <n v="0"/>
  </r>
  <r>
    <x v="0"/>
    <x v="4"/>
    <s v="Energía"/>
    <s v="Si"/>
    <n v="44"/>
    <s v="150-79"/>
    <s v="1 - Aumentar señales de expansión y cobertura del servicio de energía eléctrica"/>
    <x v="10"/>
    <s v="Documento de planeación validado"/>
    <n v="80111620"/>
    <x v="9"/>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9600000"/>
    <n v="19600000"/>
    <s v="No"/>
    <s v="N/A"/>
    <s v="Carlos Alberto Rodriguez"/>
    <s v="Subdirector de Energía Eléctrica "/>
    <n v="6012220601"/>
    <s v="carlos.rodriguez@upme.gov.co"/>
    <m/>
    <m/>
    <m/>
    <m/>
    <m/>
    <m/>
    <m/>
    <m/>
    <m/>
    <m/>
    <m/>
    <m/>
    <m/>
    <m/>
    <m/>
    <m/>
    <m/>
    <m/>
    <n v="19600000"/>
    <m/>
    <m/>
    <n v="6000000"/>
    <m/>
    <n v="13600000"/>
    <m/>
    <m/>
    <n v="19600000"/>
    <n v="19600000"/>
    <n v="0"/>
    <n v="0"/>
    <n v="0"/>
  </r>
  <r>
    <x v="0"/>
    <x v="4"/>
    <s v="Energía"/>
    <s v="Si"/>
    <n v="46"/>
    <s v="150-80"/>
    <s v="1 - Aumentar señales de expansión y cobertura del servicio de energía eléctrica"/>
    <x v="10"/>
    <s v="Documento de planeación validado"/>
    <n v="81112003"/>
    <x v="9"/>
    <s v="Software - Licencias"/>
    <s v="150-80 Adquirir el servicio de nube para Backup y DRP"/>
    <s v="Septiembre"/>
    <s v="Octubre"/>
    <s v="Octubre"/>
    <n v="12"/>
    <s v="Meses"/>
    <s v="Seléccion abreviada - acuerdo marco"/>
    <s v="Propios - 20 - Ingresos corrientes"/>
    <n v="10058411"/>
    <n v="10058411"/>
    <s v="No"/>
    <s v="N/A"/>
    <s v="Carlos Alberto Rodriguez"/>
    <s v="Subdirector de Energía Eléctrica "/>
    <n v="6012220601"/>
    <s v="carlos.rodriguez@upme.gov.co"/>
    <m/>
    <m/>
    <m/>
    <m/>
    <m/>
    <m/>
    <m/>
    <m/>
    <m/>
    <m/>
    <m/>
    <m/>
    <m/>
    <m/>
    <m/>
    <m/>
    <m/>
    <m/>
    <n v="10058411"/>
    <m/>
    <m/>
    <m/>
    <m/>
    <n v="10058411"/>
    <m/>
    <m/>
    <n v="10058411"/>
    <n v="10058411"/>
    <n v="0"/>
    <n v="0"/>
    <n v="0"/>
  </r>
  <r>
    <x v="0"/>
    <x v="4"/>
    <s v="Energía"/>
    <s v="Si"/>
    <n v="46"/>
    <s v="150-81"/>
    <s v="1 - Aumentar señales de expansión y cobertura del servicio de energía eléctrica"/>
    <x v="10"/>
    <s v="Documento de planeación validado"/>
    <n v="81112210"/>
    <x v="9"/>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m/>
    <m/>
    <n v="10000000"/>
    <n v="10000000"/>
    <n v="0"/>
    <n v="0"/>
    <n v="0"/>
  </r>
  <r>
    <x v="0"/>
    <x v="4"/>
    <s v="Energía"/>
    <s v="Si"/>
    <n v="47"/>
    <s v="150-82"/>
    <s v="2 - Aumentar la oportunidad en la definición de obras y ejecución de los procesos de convocatorias."/>
    <x v="11"/>
    <s v="Monitorear los resultados e impactos de los proyectos en ejecución de los procesos de convocatorias y subastas"/>
    <n v="43233600"/>
    <x v="10"/>
    <s v="Software - Licencias"/>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Contratación directa"/>
    <s v="Propios - 20 - Ingresos corrientes"/>
    <n v="14168834"/>
    <n v="14168834"/>
    <s v="No"/>
    <s v="N/A"/>
    <s v="Carlos Alberto Rodriguez"/>
    <s v="Subdirector de Energía Eléctrica "/>
    <n v="6012220601"/>
    <s v="carlos.rodriguez@upme.gov.co"/>
    <m/>
    <m/>
    <m/>
    <m/>
    <m/>
    <m/>
    <m/>
    <m/>
    <m/>
    <m/>
    <m/>
    <m/>
    <m/>
    <m/>
    <m/>
    <m/>
    <m/>
    <m/>
    <n v="14168834"/>
    <m/>
    <m/>
    <n v="14168834"/>
    <m/>
    <m/>
    <m/>
    <m/>
    <n v="14168834"/>
    <n v="14168834"/>
    <n v="0"/>
    <n v="0"/>
    <n v="0"/>
  </r>
  <r>
    <x v="0"/>
    <x v="5"/>
    <s v="Minería"/>
    <s v="Si"/>
    <s v="75 (30/12/2024)"/>
    <s v="140-1"/>
    <s v="2 - Ampliar el conocimiento de los encadenamientos productivos asociados a la actividad minera por parte de los actores del sector."/>
    <x v="12"/>
    <s v="Diagnóstico"/>
    <n v="80111620"/>
    <x v="11"/>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m/>
    <m/>
    <n v="103500000"/>
    <n v="103500000"/>
    <n v="0"/>
    <n v="0"/>
    <n v="0"/>
  </r>
  <r>
    <x v="0"/>
    <x v="5"/>
    <s v="Minería"/>
    <s v="Si"/>
    <s v="75 (30/12/2024)"/>
    <s v="140-2"/>
    <s v="2 - Ampliar el conocimiento de los encadenamientos productivos asociados a la actividad minera por parte de los actores del sector."/>
    <x v="12"/>
    <s v="Diagnóstico"/>
    <n v="80111620"/>
    <x v="11"/>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m/>
    <m/>
    <n v="26000000"/>
    <n v="26000000"/>
    <n v="0"/>
    <n v="0"/>
    <n v="0"/>
  </r>
  <r>
    <x v="0"/>
    <x v="5"/>
    <s v="Minería"/>
    <s v="Si"/>
    <n v="29"/>
    <s v="140-3"/>
    <s v="2 - Ampliar el conocimiento de los encadenamientos productivos asociados a la actividad minera por parte de los actores del sector."/>
    <x v="12"/>
    <s v="Diagnóstico"/>
    <n v="80111620"/>
    <x v="11"/>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9279267"/>
    <n v="89279267"/>
    <s v="No"/>
    <s v="N/A"/>
    <s v="Olga Tatiana Araque"/>
    <s v="Subdirector de Minería"/>
    <n v="6012220601"/>
    <s v="olga.araque@upme.gov.co"/>
    <n v="81279263"/>
    <m/>
    <m/>
    <n v="3769473"/>
    <m/>
    <n v="7067762"/>
    <m/>
    <n v="7067762"/>
    <m/>
    <n v="7067762"/>
    <m/>
    <n v="7067762"/>
    <m/>
    <n v="7067762"/>
    <n v="8000000"/>
    <n v="7067762"/>
    <m/>
    <n v="9488328"/>
    <m/>
    <n v="10067762"/>
    <m/>
    <n v="9567762"/>
    <n v="4"/>
    <n v="13979370"/>
    <m/>
    <m/>
    <n v="89279267"/>
    <n v="89279267"/>
    <n v="0"/>
    <n v="0"/>
    <n v="0"/>
  </r>
  <r>
    <x v="0"/>
    <x v="5"/>
    <s v="Minería"/>
    <s v="Si"/>
    <n v="16"/>
    <s v="140-4"/>
    <s v="2 - Ampliar el conocimiento de los encadenamientos productivos asociados a la actividad minera por parte de los actores del sector."/>
    <x v="12"/>
    <s v="Diagnóstico"/>
    <n v="80111620"/>
    <x v="11"/>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m/>
    <m/>
    <n v="13122900"/>
    <n v="13122900"/>
    <n v="0"/>
    <n v="0"/>
    <n v="0"/>
  </r>
  <r>
    <x v="0"/>
    <x v="5"/>
    <s v="Minería"/>
    <s v="Si"/>
    <n v="45"/>
    <s v="140-5"/>
    <s v="2 - Ampliar el conocimiento de los encadenamientos productivos asociados a la actividad minera por parte de los actores del sector."/>
    <x v="12"/>
    <s v="Diagnóstico"/>
    <s v="N/A"/>
    <x v="11"/>
    <s v="Prestación de servicios profesionales y/o de apoyo a la gestión"/>
    <s v="140-5 Prestar servicios profesionales para la divulgación y socialización de los procesos, planes y documentos de la Subdirección de Minería"/>
    <s v="Septiembre"/>
    <s v="Octubre"/>
    <s v="Noviembre"/>
    <n v="3"/>
    <s v="Meses"/>
    <s v="Contratación directa"/>
    <s v="Propios - 20 - Ingresos corrientes"/>
    <n v="4600000"/>
    <n v="4600000"/>
    <s v="No"/>
    <s v="N/A"/>
    <s v="Olga Tatiana Araque"/>
    <s v="Subdirector de Minería"/>
    <n v="6012220601"/>
    <s v="olga.araque@upme.gov.co"/>
    <m/>
    <m/>
    <m/>
    <m/>
    <m/>
    <m/>
    <m/>
    <m/>
    <m/>
    <m/>
    <m/>
    <m/>
    <m/>
    <m/>
    <m/>
    <m/>
    <m/>
    <m/>
    <n v="4600000"/>
    <m/>
    <m/>
    <m/>
    <m/>
    <n v="4600000"/>
    <m/>
    <m/>
    <n v="4600000"/>
    <n v="4600000"/>
    <n v="0"/>
    <n v="0"/>
    <n v="0"/>
  </r>
  <r>
    <x v="0"/>
    <x v="5"/>
    <s v="Minería"/>
    <s v="Si"/>
    <n v="45"/>
    <s v="140-6"/>
    <s v="2 - Ampliar el conocimiento de los encadenamientos productivos asociados a la actividad minera por parte de los actores del sector."/>
    <x v="12"/>
    <s v="Documento de planeación validado"/>
    <s v="N/A"/>
    <x v="11"/>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20447305"/>
    <n v="20447305"/>
    <s v="No"/>
    <s v="N/A"/>
    <s v="Olga Tatiana Araque"/>
    <s v="Subdirector de Minería"/>
    <n v="6012220601"/>
    <s v="olga.araque@upme.gov.co"/>
    <m/>
    <m/>
    <m/>
    <m/>
    <m/>
    <m/>
    <m/>
    <m/>
    <n v="6443381"/>
    <n v="6443381"/>
    <n v="1315736"/>
    <n v="1069794"/>
    <n v="5372495"/>
    <n v="5121102"/>
    <n v="1186328"/>
    <n v="251393"/>
    <n v="5869900"/>
    <n v="7056228"/>
    <n v="259465"/>
    <n v="505407"/>
    <m/>
    <m/>
    <m/>
    <m/>
    <m/>
    <m/>
    <n v="20447305"/>
    <n v="20447305"/>
    <n v="0"/>
    <n v="0"/>
    <n v="0"/>
  </r>
  <r>
    <x v="0"/>
    <x v="5"/>
    <s v="Minería"/>
    <s v="Si"/>
    <n v="18"/>
    <s v="140-7"/>
    <s v="2 - Ampliar el conocimiento de los encadenamientos productivos asociados a la actividad minera por parte de los actores del sector."/>
    <x v="12"/>
    <s v="Documento de planeación validado"/>
    <n v="80111620"/>
    <x v="11"/>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m/>
    <m/>
    <n v="87893680"/>
    <n v="87893680"/>
    <n v="0"/>
    <n v="0"/>
    <n v="0"/>
  </r>
  <r>
    <x v="0"/>
    <x v="5"/>
    <s v="Minería"/>
    <s v="Si"/>
    <n v="2"/>
    <s v="140-8"/>
    <s v="2 - Ampliar el conocimiento de los encadenamientos productivos asociados a la actividad minera por parte de los actores del sector."/>
    <x v="12"/>
    <s v="Documento de planeación preliminar"/>
    <n v="78111502"/>
    <x v="11"/>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2000000"/>
    <m/>
    <n v="2200000"/>
    <m/>
    <n v="3721107"/>
    <m/>
    <m/>
    <n v="17341466"/>
    <n v="17341466"/>
    <n v="0"/>
    <n v="0"/>
    <n v="0"/>
  </r>
  <r>
    <x v="0"/>
    <x v="5"/>
    <s v="Minería"/>
    <s v="Si"/>
    <n v="5"/>
    <s v="140-9"/>
    <s v="2 - Ampliar el conocimiento de los encadenamientos productivos asociados a la actividad minera por parte de los actores del sector."/>
    <x v="12"/>
    <s v="Documento de planeación preliminar"/>
    <n v="80111620"/>
    <x v="11"/>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7724300"/>
    <n v="127724300"/>
    <s v="No"/>
    <s v="N/A"/>
    <s v="Olga Tatiana Araque"/>
    <s v="Subdirector de Minería"/>
    <n v="6012220601"/>
    <s v="olga.araque@upme.gov.co"/>
    <m/>
    <m/>
    <n v="81279100"/>
    <m/>
    <n v="44122940"/>
    <n v="9289040"/>
    <m/>
    <n v="11611300"/>
    <m/>
    <n v="11611300"/>
    <m/>
    <n v="11611300"/>
    <m/>
    <n v="11611300"/>
    <m/>
    <n v="11611300"/>
    <m/>
    <n v="11611300"/>
    <m/>
    <n v="11611300"/>
    <m/>
    <n v="11611300"/>
    <n v="2322260"/>
    <n v="25544860"/>
    <m/>
    <m/>
    <n v="127724300"/>
    <n v="127724300"/>
    <n v="0"/>
    <n v="0"/>
    <n v="0"/>
  </r>
  <r>
    <x v="0"/>
    <x v="5"/>
    <s v="Minería"/>
    <s v="Si"/>
    <n v="5"/>
    <s v="140-10"/>
    <s v="2 - Ampliar el conocimiento de los encadenamientos productivos asociados a la actividad minera por parte de los actores del sector."/>
    <x v="12"/>
    <s v="Documento de planeación preliminar"/>
    <n v="80111620"/>
    <x v="11"/>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m/>
    <m/>
    <n v="70677620"/>
    <n v="70677620"/>
    <n v="0"/>
    <n v="0"/>
    <n v="0"/>
  </r>
  <r>
    <x v="0"/>
    <x v="5"/>
    <s v="Minería"/>
    <s v="Si"/>
    <s v="75 (30/12/2024)"/>
    <s v="140-11"/>
    <s v="2 - Ampliar el conocimiento de los encadenamientos productivos asociados a la actividad minera por parte de los actores del sector."/>
    <x v="12"/>
    <s v="Documento de planeación preliminar"/>
    <n v="80111620"/>
    <x v="11"/>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852500"/>
    <n v="49852500"/>
    <s v="No"/>
    <s v="N/A"/>
    <s v="Olga Tatiana Araque"/>
    <s v="Subdirector de Minería"/>
    <n v="6012220601"/>
    <s v="olga.araque@upme.gov.co"/>
    <n v="49852500"/>
    <m/>
    <n v="-144500"/>
    <n v="2023000"/>
    <m/>
    <n v="4335000"/>
    <m/>
    <n v="4335000"/>
    <m/>
    <n v="4335000"/>
    <m/>
    <n v="4335000"/>
    <m/>
    <n v="4335000"/>
    <m/>
    <n v="4335000"/>
    <m/>
    <n v="4335000"/>
    <m/>
    <n v="4335000"/>
    <m/>
    <n v="4335000"/>
    <n v="144500"/>
    <n v="8814500"/>
    <m/>
    <m/>
    <n v="49852500"/>
    <n v="49852500"/>
    <n v="0"/>
    <n v="0"/>
    <n v="0"/>
  </r>
  <r>
    <x v="0"/>
    <x v="5"/>
    <s v="Minería"/>
    <s v="Si"/>
    <n v="18"/>
    <s v="140-12"/>
    <s v="3 - Fortalecer la gestión integral de la información de la planeación minera."/>
    <x v="13"/>
    <s v="Desarrollar herramientas para el análisis, proyección y divulgación de la información minera"/>
    <n v="81121503"/>
    <x v="12"/>
    <s v="Estudios"/>
    <s v="140-12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 Contratos interadministrativos"/>
    <s v="Propios - 20 - Ingresos corrientes"/>
    <n v="60000000"/>
    <n v="60000000"/>
    <s v="No"/>
    <s v="N/A"/>
    <s v="Olga Tatiana Araque"/>
    <s v="Subdirector de Minería"/>
    <n v="6012220601"/>
    <s v="olga.araque@upme.gov.co"/>
    <m/>
    <m/>
    <m/>
    <m/>
    <m/>
    <m/>
    <m/>
    <m/>
    <m/>
    <m/>
    <m/>
    <m/>
    <m/>
    <m/>
    <m/>
    <m/>
    <m/>
    <m/>
    <n v="60000000"/>
    <n v="34917708"/>
    <m/>
    <m/>
    <m/>
    <n v="25082292"/>
    <m/>
    <m/>
    <n v="60000000"/>
    <n v="60000000"/>
    <n v="0"/>
    <n v="0"/>
    <n v="0"/>
  </r>
  <r>
    <x v="0"/>
    <x v="5"/>
    <s v="Minería"/>
    <s v="Si"/>
    <n v="5"/>
    <s v="140-13"/>
    <s v="3 - Fortalecer la gestión integral de la información de la planeación minera."/>
    <x v="13"/>
    <s v="Desarrollar herramientas para el análisis, proyección y divulgación de la información minera"/>
    <n v="80111620"/>
    <x v="1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m/>
    <m/>
    <n v="100000000"/>
    <n v="100000000"/>
    <n v="0"/>
    <n v="0"/>
    <n v="0"/>
  </r>
  <r>
    <x v="0"/>
    <x v="5"/>
    <s v="Minería"/>
    <s v="Si"/>
    <n v="33"/>
    <s v="140-14"/>
    <s v="3 - Fortalecer la gestión integral de la información de la planeación minera."/>
    <x v="13"/>
    <s v="Apropiar Insumos para el análisis de Mercado Nacional e internacional de minerales y sus encadenamientos productivos"/>
    <n v="93151509"/>
    <x v="1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5"/>
    <m/>
    <m/>
    <n v="-16143585"/>
    <m/>
    <m/>
    <m/>
    <m/>
    <m/>
    <m/>
    <m/>
    <m/>
    <m/>
    <m/>
    <m/>
    <m/>
    <m/>
    <n v="218356415"/>
    <n v="218356415"/>
    <n v="0"/>
    <n v="0"/>
    <n v="0"/>
  </r>
  <r>
    <x v="0"/>
    <x v="5"/>
    <s v="Minería"/>
    <s v="Si"/>
    <n v="33"/>
    <s v="140-15"/>
    <s v="3 - Fortalecer la gestión integral de la información de la planeación minera."/>
    <x v="13"/>
    <s v="Apropiar Insumos para el análisis de Mercado Nacional e internacional de minerales y sus encadenamientos productivos"/>
    <n v="93151510"/>
    <x v="1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m/>
    <m/>
    <m/>
    <m/>
    <n v="376833619.75"/>
    <n v="376833619.75"/>
    <n v="0"/>
    <n v="0.25"/>
    <n v="0.25"/>
  </r>
  <r>
    <x v="0"/>
    <x v="5"/>
    <s v="Minería"/>
    <s v="Si"/>
    <n v="33"/>
    <s v="140-16"/>
    <s v="3 - Fortalecer la gestión integral de la información de la planeación minera."/>
    <x v="13"/>
    <s v="Apropiar Insumos para el análisis de Mercado Nacional e internacional de minerales y sus encadenamientos productivos"/>
    <n v="93151511"/>
    <x v="12"/>
    <s v="Software - Suscripciones"/>
    <s v="140-16 Renovación de la suscripción ONLINE de Baltic Exchange."/>
    <s v="Noviembre"/>
    <s v="Diciembre"/>
    <s v="Diciembre"/>
    <n v="12"/>
    <s v="Meses"/>
    <s v="Contratación directa - único oferente"/>
    <s v="Propios - 20 - Ingresos corrientes"/>
    <n v="43809965"/>
    <n v="43809965"/>
    <s v="No"/>
    <s v="N/A"/>
    <s v="Olga Tatiana Araque"/>
    <s v="Subdirector de Minería"/>
    <n v="6012220601"/>
    <s v="olga.araque@upme.gov.co"/>
    <m/>
    <m/>
    <m/>
    <m/>
    <m/>
    <m/>
    <m/>
    <m/>
    <m/>
    <m/>
    <m/>
    <m/>
    <m/>
    <m/>
    <m/>
    <m/>
    <m/>
    <m/>
    <m/>
    <m/>
    <m/>
    <m/>
    <n v="43809965"/>
    <n v="43809965"/>
    <m/>
    <m/>
    <n v="43809965"/>
    <n v="43809965"/>
    <n v="0"/>
    <n v="0"/>
    <n v="0"/>
  </r>
  <r>
    <x v="0"/>
    <x v="5"/>
    <s v="Minería"/>
    <s v="Si"/>
    <n v="45"/>
    <s v="140-17"/>
    <s v="3 - Fortalecer la gestión integral de la información de la planeación minera."/>
    <x v="13"/>
    <s v="Apropiar Insumos para el análisis de Mercado Nacional e internacional de minerales y sus encadenamientos productivos"/>
    <n v="80101507"/>
    <x v="1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m/>
    <m/>
    <n v="152000000"/>
    <n v="152000000"/>
    <n v="0"/>
    <n v="0"/>
    <n v="0"/>
  </r>
  <r>
    <x v="0"/>
    <x v="5"/>
    <s v="Minería"/>
    <s v="Si"/>
    <n v="45"/>
    <s v="140-18"/>
    <s v="3 - Fortalecer la gestión integral de la información de la planeación minera."/>
    <x v="13"/>
    <s v="Apropiar insumos para el análisis de Mercado Internacional de minerales y sus tendencias a largo plazo"/>
    <n v="80101507"/>
    <x v="1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n v="195000000"/>
    <m/>
    <m/>
    <m/>
    <m/>
    <n v="195000000"/>
    <n v="195000000"/>
    <n v="0"/>
    <n v="0"/>
    <n v="0"/>
  </r>
  <r>
    <x v="0"/>
    <x v="5"/>
    <s v="Minería"/>
    <s v="Si"/>
    <s v="75 (30/12/2024)"/>
    <s v="140-19"/>
    <s v="2 - Ampliar el conocimiento de los encadenamientos productivos asociados a la actividad minera por parte de los actores del sector."/>
    <x v="12"/>
    <s v="Diagnóstico"/>
    <n v="80111620"/>
    <x v="11"/>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r>
  <r>
    <x v="0"/>
    <x v="5"/>
    <s v="Minería"/>
    <s v="Si"/>
    <s v="75 (30/12/2024)"/>
    <s v="140-20"/>
    <s v="2 - Ampliar el conocimiento de los encadenamientos productivos asociados a la actividad minera por parte de los actores del sector."/>
    <x v="12"/>
    <s v="Diagnóstico"/>
    <n v="80111620"/>
    <x v="11"/>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r>
  <r>
    <x v="0"/>
    <x v="5"/>
    <s v="Minería"/>
    <s v="Si"/>
    <n v="32"/>
    <s v="140-21"/>
    <s v="2 - Ampliar el conocimiento de los encadenamientos productivos asociados a la actividad minera por parte de los actores del sector."/>
    <x v="12"/>
    <s v="Documento de planeación preliminar"/>
    <n v="43233501"/>
    <x v="11"/>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n v="13600000"/>
    <m/>
    <m/>
    <m/>
    <m/>
    <m/>
    <m/>
    <n v="13600000"/>
    <n v="13600000"/>
    <n v="0"/>
    <n v="0"/>
    <n v="0"/>
  </r>
  <r>
    <x v="0"/>
    <x v="5"/>
    <s v="Minería"/>
    <s v="Si"/>
    <s v="75 (30/12/2024)"/>
    <s v="140-22"/>
    <s v="2 - Ampliar el conocimiento de los encadenamientos productivos asociados a la actividad minera por parte de los actores del sector."/>
    <x v="12"/>
    <s v="Documento de planeación preliminar"/>
    <n v="80111620"/>
    <x v="11"/>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426767"/>
    <n v="31426767"/>
    <s v="No"/>
    <s v="N/A"/>
    <s v="Olga Tatiana Araque"/>
    <s v="Subdirector de Minería"/>
    <n v="6012220601"/>
    <s v="olga.araque@upme.gov.co"/>
    <n v="31333745"/>
    <m/>
    <m/>
    <n v="471184"/>
    <m/>
    <n v="7067762"/>
    <m/>
    <n v="7067762"/>
    <m/>
    <n v="7067762"/>
    <m/>
    <n v="7067762"/>
    <m/>
    <m/>
    <m/>
    <m/>
    <m/>
    <m/>
    <m/>
    <m/>
    <m/>
    <m/>
    <n v="93022"/>
    <n v="2684535"/>
    <m/>
    <m/>
    <n v="31426767"/>
    <n v="31426767"/>
    <n v="0"/>
    <n v="0"/>
    <n v="0"/>
  </r>
  <r>
    <x v="0"/>
    <x v="5"/>
    <s v="Minería"/>
    <s v="Si"/>
    <n v="5"/>
    <s v="140-23"/>
    <s v="2 - Ampliar el conocimiento de los encadenamientos productivos asociados a la actividad minera por parte de los actores del sector"/>
    <x v="12"/>
    <s v="Documento de planeación validado"/>
    <n v="80111620"/>
    <x v="11"/>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823600"/>
    <n v="31823600"/>
    <s v="No"/>
    <s v="N/A"/>
    <s v="Olga Tatiana Araque"/>
    <s v="Subdirector de Minería"/>
    <n v="6012220601"/>
    <s v="olga.araque@upme.gov.co"/>
    <m/>
    <m/>
    <m/>
    <m/>
    <m/>
    <m/>
    <m/>
    <m/>
    <n v="31333745"/>
    <m/>
    <m/>
    <m/>
    <m/>
    <n v="7067762"/>
    <m/>
    <n v="7067762"/>
    <m/>
    <n v="7067762"/>
    <m/>
    <n v="7067762"/>
    <m/>
    <n v="3552552"/>
    <n v="489855"/>
    <m/>
    <m/>
    <m/>
    <n v="31823600"/>
    <n v="31823600"/>
    <n v="0"/>
    <n v="0"/>
    <n v="0"/>
  </r>
  <r>
    <x v="0"/>
    <x v="5"/>
    <s v="Minería"/>
    <s v="Si"/>
    <n v="5"/>
    <s v="140-24"/>
    <s v="2 - Ampliar el conocimiento de los encadenamientos productivos asociados a la actividad minera por parte de los actores del sector"/>
    <x v="12"/>
    <s v="Diagnóstico"/>
    <n v="80111620"/>
    <x v="11"/>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m/>
    <m/>
    <n v="22007467"/>
    <n v="22007467"/>
    <n v="0"/>
    <n v="0"/>
    <n v="0"/>
  </r>
  <r>
    <x v="0"/>
    <x v="5"/>
    <s v="Minería"/>
    <s v="Si"/>
    <n v="5"/>
    <s v="140-25"/>
    <s v="2 - Ampliar el conocimiento de los encadenamientos productivos asociados a la actividad minera por parte de los actores del sector"/>
    <x v="12"/>
    <s v="Documento de planeación preliminar"/>
    <n v="80111620"/>
    <x v="11"/>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m/>
    <m/>
    <n v="9377347"/>
    <n v="9377347"/>
    <n v="0"/>
    <n v="0"/>
    <n v="0"/>
  </r>
  <r>
    <x v="0"/>
    <x v="5"/>
    <s v="Minería"/>
    <s v="Si"/>
    <n v="16"/>
    <s v="140-26"/>
    <s v="2 - Ampliar el conocimiento de los encadenamientos productivos asociados a la actividad minera por parte de los actores del sector"/>
    <x v="12"/>
    <s v="Diagnóstico"/>
    <n v="80111620"/>
    <x v="11"/>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m/>
    <m/>
    <n v="46148900"/>
    <n v="46148900"/>
    <n v="0"/>
    <n v="0"/>
    <n v="0"/>
  </r>
  <r>
    <x v="0"/>
    <x v="5"/>
    <s v="Minería"/>
    <s v="Si"/>
    <n v="18"/>
    <s v="140-27"/>
    <s v="2 - Ampliar el conocimiento de los encadenamientos productivos asociados a la actividad minera por parte de los actores del sector"/>
    <x v="12"/>
    <s v="Documento de planeación validado"/>
    <n v="81121503"/>
    <x v="11"/>
    <s v="Estudios"/>
    <s v="140-27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Contratos Interadministrativos"/>
    <s v="Propios - 20 - Ingresos corrientes"/>
    <n v="9835415"/>
    <n v="9835415"/>
    <s v="No"/>
    <s v="N/A"/>
    <s v="Olga Tatiana Araque"/>
    <s v="Subdirector de Minería"/>
    <n v="6012220601"/>
    <s v="olga.araque@upme.gov.co"/>
    <m/>
    <m/>
    <m/>
    <m/>
    <m/>
    <m/>
    <m/>
    <m/>
    <m/>
    <m/>
    <m/>
    <m/>
    <m/>
    <m/>
    <m/>
    <m/>
    <m/>
    <m/>
    <n v="9835415"/>
    <m/>
    <m/>
    <m/>
    <m/>
    <n v="9835415"/>
    <m/>
    <m/>
    <n v="9835415"/>
    <n v="9835415"/>
    <n v="0"/>
    <n v="0"/>
    <n v="0"/>
  </r>
  <r>
    <x v="0"/>
    <x v="5"/>
    <s v="Minería"/>
    <s v="Si"/>
    <n v="33"/>
    <s v="140-28"/>
    <s v="3 - Fortalecer la gestión integral de la información de la planeación minera."/>
    <x v="13"/>
    <s v="Apropiar Insumos para el análisis de Mercado Nacional e internacional de minerales y sus encadenamientos productivos"/>
    <n v="55101519"/>
    <x v="1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m/>
    <m/>
    <m/>
    <m/>
    <n v="9000000"/>
    <m/>
    <m/>
    <n v="9000000"/>
    <n v="9000000"/>
    <n v="0"/>
    <n v="0"/>
    <n v="0"/>
  </r>
  <r>
    <x v="0"/>
    <x v="5"/>
    <s v="Minería"/>
    <s v="Si"/>
    <n v="33"/>
    <s v="140-29"/>
    <s v="2 - Ampliar el conocimiento de los encadenamientos productivos asociados a la actividad minera por parte de los actores del sector"/>
    <x v="12"/>
    <s v="Diagnóstico"/>
    <n v="43233501"/>
    <x v="11"/>
    <s v="Software-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m/>
    <m/>
    <n v="1400000"/>
    <n v="1400000"/>
    <n v="0"/>
    <n v="0"/>
    <n v="0"/>
  </r>
  <r>
    <x v="0"/>
    <x v="5"/>
    <s v="Minería"/>
    <s v="Si"/>
    <n v="37"/>
    <s v="140-30"/>
    <s v="3 - Fortalecer la gestión integral de la información de la planeación minera."/>
    <x v="13"/>
    <s v="Apropiar insumos para el análisis de Mercado Internacional de minerales y sus tendencias a largo plazo"/>
    <n v="80111620"/>
    <x v="1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45000000"/>
    <n v="45000000"/>
    <s v="No"/>
    <s v="N/A"/>
    <s v="Luz Mireya Gomez"/>
    <s v="Subdirector de Minería (E)"/>
    <n v="6012220601"/>
    <s v="eric.vargas@upme.gov.co"/>
    <m/>
    <m/>
    <m/>
    <m/>
    <m/>
    <m/>
    <m/>
    <m/>
    <m/>
    <m/>
    <m/>
    <m/>
    <m/>
    <m/>
    <m/>
    <m/>
    <m/>
    <m/>
    <n v="39000000"/>
    <n v="2166667"/>
    <m/>
    <n v="13000000"/>
    <m/>
    <n v="23833333"/>
    <n v="6000000"/>
    <n v="6000000"/>
    <n v="45000000"/>
    <n v="45000000"/>
    <n v="0"/>
    <n v="0"/>
    <n v="0"/>
  </r>
  <r>
    <x v="0"/>
    <x v="5"/>
    <s v="Minería"/>
    <s v="Si"/>
    <n v="45"/>
    <s v="140-31"/>
    <s v="2 - Ampliar el conocimiento de los encadenamientos productivos asociados a la actividad minera por parte de los actores del sector"/>
    <x v="12"/>
    <s v="Documento de planeación validado"/>
    <n v="80111620"/>
    <x v="11"/>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10000000"/>
    <n v="10000000"/>
    <s v="No"/>
    <s v="N/A"/>
    <s v="German Ojeda"/>
    <s v="Subdirector de Minería (E)"/>
    <n v="6012220601"/>
    <s v="german.ojeda@upme.gov.co"/>
    <m/>
    <m/>
    <m/>
    <m/>
    <m/>
    <m/>
    <m/>
    <m/>
    <m/>
    <m/>
    <m/>
    <m/>
    <m/>
    <m/>
    <m/>
    <m/>
    <m/>
    <m/>
    <n v="10000000"/>
    <m/>
    <m/>
    <n v="5000000"/>
    <m/>
    <n v="5000000"/>
    <m/>
    <m/>
    <n v="10000000"/>
    <n v="10000000"/>
    <n v="0"/>
    <n v="0"/>
    <n v="0"/>
  </r>
  <r>
    <x v="0"/>
    <x v="6"/>
    <s v="G. Información"/>
    <s v="Si"/>
    <n v="35"/>
    <s v="131-1"/>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72327750"/>
    <n v="72327750"/>
    <s v="No"/>
    <s v="N/A"/>
    <s v="Johanna Stella Castellanos"/>
    <s v="Subdirectora de Gestión de la Información"/>
    <n v="6012220601"/>
    <s v="johanna.castellanos@upme.gov.co"/>
    <m/>
    <m/>
    <n v="68250000"/>
    <m/>
    <m/>
    <n v="3683333"/>
    <m/>
    <n v="6500000"/>
    <m/>
    <n v="6500000"/>
    <m/>
    <n v="6500000"/>
    <m/>
    <n v="6500000"/>
    <m/>
    <n v="6500000"/>
    <m/>
    <n v="6500000"/>
    <m/>
    <n v="6500000"/>
    <m/>
    <n v="6500000"/>
    <m/>
    <n v="13000000"/>
    <n v="4077750"/>
    <n v="3644417"/>
    <n v="72327750"/>
    <n v="72327750"/>
    <n v="0"/>
    <n v="0"/>
    <n v="0"/>
  </r>
  <r>
    <x v="0"/>
    <x v="6"/>
    <s v="G. Información"/>
    <s v="Si"/>
    <n v="4"/>
    <s v="131-2"/>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4000000"/>
    <n v="44000000"/>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n v="666667"/>
    <n v="666667"/>
    <n v="44000000"/>
    <n v="44000000"/>
    <n v="0"/>
    <n v="0"/>
    <n v="0"/>
  </r>
  <r>
    <x v="0"/>
    <x v="6"/>
    <s v="G. Información"/>
    <s v="Si"/>
    <n v="6"/>
    <s v="131-3"/>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42000000"/>
    <n v="42000000"/>
    <s v="No"/>
    <s v="N/A"/>
    <s v="Johanna Stella Castellanos"/>
    <s v="Subdirectora de Gestión de la Información"/>
    <n v="6012220601"/>
    <s v="johanna.castellanos@upme.gov.co"/>
    <n v="42000000"/>
    <m/>
    <m/>
    <n v="4000000"/>
    <m/>
    <n v="4000000"/>
    <m/>
    <n v="4000000"/>
    <m/>
    <n v="4000000"/>
    <m/>
    <n v="4000000"/>
    <n v="-3333333"/>
    <n v="4000000"/>
    <m/>
    <m/>
    <m/>
    <n v="1600000"/>
    <n v="-10666667"/>
    <m/>
    <m/>
    <m/>
    <m/>
    <m/>
    <n v="14000000"/>
    <n v="16400000"/>
    <n v="42000000"/>
    <n v="42000000"/>
    <n v="0"/>
    <n v="0"/>
    <n v="0"/>
  </r>
  <r>
    <x v="0"/>
    <x v="6"/>
    <s v="G. Información"/>
    <s v="Si"/>
    <n v="4"/>
    <s v="131-4"/>
    <s v="1 - Fortalecer la implementación de la política de gobierno de datos y gestión de información del sector minero energético."/>
    <x v="14"/>
    <s v="Divulgación"/>
    <n v="80111620"/>
    <x v="13"/>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m/>
    <m/>
    <n v="42000000"/>
    <n v="42000000"/>
    <n v="0"/>
    <n v="0"/>
    <n v="0"/>
  </r>
  <r>
    <x v="0"/>
    <x v="6"/>
    <s v="G. Información"/>
    <s v="Si"/>
    <n v="3"/>
    <s v="131-5"/>
    <s v="1 - Fortalecer la implementación de la política de gobierno de datos y gestión de información del sector minero energético."/>
    <x v="15"/>
    <s v="Diseño técnico y funcional"/>
    <n v="80111620"/>
    <x v="14"/>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7000000"/>
    <m/>
    <n v="8000000"/>
    <m/>
    <n v="16000000"/>
    <m/>
    <m/>
    <n v="63000000"/>
    <n v="63000000"/>
    <n v="0"/>
    <n v="0"/>
    <n v="0"/>
  </r>
  <r>
    <x v="0"/>
    <x v="6"/>
    <s v="G. Información"/>
    <s v="Si"/>
    <n v="3"/>
    <s v="131-6"/>
    <s v="1 - Fortalecer la implementación de la política de gobierno de datos y gestión de información del sector minero energético."/>
    <x v="15"/>
    <s v="Pruebas y aseguramiento de calidad"/>
    <n v="80111620"/>
    <x v="14"/>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n v="1000000"/>
    <m/>
    <m/>
    <m/>
    <m/>
    <m/>
    <m/>
    <n v="25000000"/>
    <n v="25000000"/>
    <n v="0"/>
    <n v="0"/>
    <n v="0"/>
  </r>
  <r>
    <x v="0"/>
    <x v="6"/>
    <s v="G. Información"/>
    <s v="Si"/>
    <n v="3"/>
    <s v="131-7"/>
    <s v="1 - Fortalecer la implementación de la política de gobierno de datos y gestión de información del sector minero energético."/>
    <x v="15"/>
    <s v="Pruebas y aseguramiento de calidad"/>
    <n v="80111620"/>
    <x v="14"/>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9000000"/>
    <n v="9000000"/>
    <s v="No"/>
    <s v="N/A"/>
    <s v="Johanna Stella Castellanos"/>
    <s v="Subdirectora de Gestión de la Información"/>
    <n v="6012220601"/>
    <s v="johanna.castellanos@upme.gov.co"/>
    <n v="9000000"/>
    <m/>
    <n v="-750000"/>
    <m/>
    <m/>
    <m/>
    <m/>
    <m/>
    <m/>
    <m/>
    <m/>
    <m/>
    <m/>
    <m/>
    <m/>
    <m/>
    <m/>
    <m/>
    <m/>
    <m/>
    <m/>
    <n v="4500000"/>
    <m/>
    <n v="3750000"/>
    <n v="750000"/>
    <n v="750000"/>
    <n v="9000000"/>
    <n v="9000000"/>
    <n v="0"/>
    <n v="0"/>
    <n v="0"/>
  </r>
  <r>
    <x v="0"/>
    <x v="6"/>
    <s v="G. Información"/>
    <s v="Si"/>
    <s v="75 (30/12/2024)"/>
    <s v="131-8"/>
    <s v="1 - Fortalecer la implementación de la política de gobierno de datos y gestión de información del sector minero energético."/>
    <x v="15"/>
    <s v="Pruebas y aseguramiento de calidad"/>
    <n v="80111620"/>
    <x v="14"/>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m/>
    <m/>
    <n v="18000000"/>
    <n v="18000000"/>
    <n v="0"/>
    <n v="0"/>
    <n v="0"/>
  </r>
  <r>
    <x v="0"/>
    <x v="6"/>
    <s v="G. Información"/>
    <s v="Si"/>
    <n v="35"/>
    <s v="131-9"/>
    <s v="1 - Fortalecer la implementación de la política de gobierno de datos y gestión de información del sector minero energético."/>
    <x v="15"/>
    <s v="Pruebas y aseguramiento de calidad"/>
    <n v="80111620"/>
    <x v="14"/>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6797600"/>
    <n v="867976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n v="1197600"/>
    <n v="1197600"/>
    <n v="86797600"/>
    <n v="86797600"/>
    <n v="0"/>
    <n v="0"/>
    <n v="0"/>
  </r>
  <r>
    <x v="0"/>
    <x v="6"/>
    <s v="G. Información"/>
    <s v="Si"/>
    <n v="6"/>
    <s v="131-10"/>
    <s v="1 - Fortalecer la implementación de la política de gobierno de datos y gestión de información del sector minero energético."/>
    <x v="15"/>
    <s v="Pruebas y aseguramiento de calidad"/>
    <n v="80111620"/>
    <x v="14"/>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m/>
    <m/>
    <n v="79235000"/>
    <n v="79235000"/>
    <n v="0"/>
    <n v="0"/>
    <n v="0"/>
  </r>
  <r>
    <x v="0"/>
    <x v="6"/>
    <s v="G. Información"/>
    <s v="Si"/>
    <n v="35"/>
    <s v="131-11"/>
    <s v="1 - Fortalecer la implementación de la política de gobierno de datos y gestión de información del sector minero energético."/>
    <x v="15"/>
    <s v="Pruebas y aseguramiento de calidad"/>
    <n v="43233400"/>
    <x v="14"/>
    <s v="Software-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13202400"/>
    <n v="13202400"/>
    <s v="No"/>
    <s v="N/A"/>
    <s v="Johanna Stella Castellanos"/>
    <s v="Subdirectora de Gestión de la Información"/>
    <n v="6012220601"/>
    <s v="johanna.castellanos@upme.gov.co"/>
    <m/>
    <m/>
    <m/>
    <m/>
    <m/>
    <m/>
    <m/>
    <m/>
    <m/>
    <m/>
    <m/>
    <m/>
    <m/>
    <m/>
    <m/>
    <m/>
    <m/>
    <m/>
    <n v="13202400"/>
    <m/>
    <m/>
    <n v="13202400"/>
    <m/>
    <m/>
    <m/>
    <m/>
    <n v="13202400"/>
    <n v="13202400"/>
    <n v="0"/>
    <n v="0"/>
    <n v="0"/>
  </r>
  <r>
    <x v="0"/>
    <x v="6"/>
    <s v="G. Información"/>
    <s v="Si"/>
    <n v="3"/>
    <s v="131-12"/>
    <s v="2 - Mejorar la calidad de la información producida por el sector minero energético."/>
    <x v="16"/>
    <s v="Documento con la descripción de procesos, métodos y herramientas"/>
    <n v="80111620"/>
    <x v="13"/>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n v="4500000"/>
    <m/>
    <m/>
    <m/>
    <n v="2050000"/>
    <m/>
    <m/>
    <n v="29500000"/>
    <n v="29500000"/>
    <n v="0"/>
    <n v="0"/>
    <n v="0"/>
  </r>
  <r>
    <x v="0"/>
    <x v="6"/>
    <s v="G. Información"/>
    <s v="Si"/>
    <s v="75 (30/12/2024)"/>
    <s v="131-13"/>
    <s v="2 - Mejorar la calidad de la información producida por el sector minero energético."/>
    <x v="16"/>
    <s v="Documento con la descripción de procesos, métodos y herramientas"/>
    <n v="80111620"/>
    <x v="13"/>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m/>
    <m/>
    <n v="7667806"/>
    <n v="7667806"/>
    <n v="0"/>
    <n v="0"/>
    <n v="0"/>
  </r>
  <r>
    <x v="0"/>
    <x v="6"/>
    <s v="G. Información"/>
    <s v="Si"/>
    <s v="75 (30/12/2024)"/>
    <s v="131-14"/>
    <s v="2 - Mejorar la calidad de la información producida por el sector minero energético."/>
    <x v="16"/>
    <s v="Documento con la descripción de procesos, métodos y herramientas"/>
    <n v="80111620"/>
    <x v="13"/>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m/>
    <m/>
    <n v="7667806"/>
    <n v="7667806"/>
    <n v="0"/>
    <n v="0"/>
    <n v="0"/>
  </r>
  <r>
    <x v="0"/>
    <x v="6"/>
    <s v="G. Información"/>
    <s v="Si"/>
    <n v="4"/>
    <s v="131-15"/>
    <s v="2 - Mejorar la calidad de la información producida por el sector minero energético."/>
    <x v="16"/>
    <s v="Documento con la descripción de procesos, métodos y herramientas"/>
    <n v="80111620"/>
    <x v="13"/>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m/>
    <m/>
    <n v="4874388"/>
    <n v="4874388"/>
    <n v="0"/>
    <n v="0"/>
    <n v="0"/>
  </r>
  <r>
    <x v="0"/>
    <x v="6"/>
    <s v="G. Información"/>
    <s v="Si"/>
    <n v="3"/>
    <s v="131-16"/>
    <s v="2 - Mejorar la calidad de la información producida por el sector minero energético."/>
    <x v="16"/>
    <s v="Documento con la descripción de procesos, métodos y herramientas"/>
    <n v="80111620"/>
    <x v="13"/>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m/>
    <m/>
    <n v="44000000"/>
    <n v="44000000"/>
    <n v="0"/>
    <n v="0"/>
    <n v="0"/>
  </r>
  <r>
    <x v="0"/>
    <x v="6"/>
    <s v="G. Información"/>
    <s v="Si"/>
    <n v="27"/>
    <s v="131-17"/>
    <s v="2 - Mejorar la calidad de la información producida por el sector minero energético."/>
    <x v="16"/>
    <s v="Documento con la descripción de procesos, métodos y herramientas"/>
    <n v="80111620"/>
    <x v="13"/>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m/>
    <m/>
    <n v="22966667"/>
    <n v="22966667"/>
    <n v="0"/>
    <n v="0"/>
    <n v="0"/>
  </r>
  <r>
    <x v="0"/>
    <x v="6"/>
    <s v="G. Información"/>
    <s v="Si"/>
    <s v="75 (30/12/2024)"/>
    <s v="131-18"/>
    <s v="2 - Mejorar la calidad de la información producida por el sector minero energético."/>
    <x v="16"/>
    <s v="Documento con la descripción de procesos, métodos y herramientas"/>
    <n v="80111620"/>
    <x v="13"/>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m/>
    <m/>
    <n v="77357740"/>
    <n v="77357740"/>
    <n v="0"/>
    <n v="0"/>
    <n v="0"/>
  </r>
  <r>
    <x v="0"/>
    <x v="6"/>
    <s v="G. Información"/>
    <s v="Si"/>
    <n v="27"/>
    <s v="131-19"/>
    <s v="2 - Mejorar la calidad de la información producida por el sector minero energético."/>
    <x v="16"/>
    <s v="Documento con la descripción de procesos, métodos y herramientas"/>
    <n v="80111620"/>
    <x v="13"/>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m/>
    <m/>
    <n v="78100000"/>
    <n v="78100000"/>
    <n v="0"/>
    <n v="0"/>
    <n v="0"/>
  </r>
  <r>
    <x v="0"/>
    <x v="6"/>
    <s v="G. Información"/>
    <s v="Si"/>
    <n v="27"/>
    <s v="131-20"/>
    <s v="2 - Mejorar la calidad de la información producida por el sector minero energético."/>
    <x v="16"/>
    <s v="Documento con la descripción de procesos, métodos y herramientas"/>
    <n v="80111620"/>
    <x v="13"/>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m/>
    <m/>
    <n v="66825753"/>
    <n v="66825753"/>
    <n v="0"/>
    <n v="0"/>
    <n v="0"/>
  </r>
  <r>
    <x v="0"/>
    <x v="6"/>
    <s v="G. Información"/>
    <s v="Si"/>
    <s v="75 (30/12/2024)"/>
    <s v="131-21"/>
    <s v="2 - Mejorar la calidad de la información producida por el sector minero energético."/>
    <x v="16"/>
    <s v="Divulgación"/>
    <n v="80111620"/>
    <x v="13"/>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m/>
    <m/>
    <n v="7057580"/>
    <n v="7057580"/>
    <n v="0"/>
    <n v="0"/>
    <n v="0"/>
  </r>
  <r>
    <x v="0"/>
    <x v="6"/>
    <s v="G. Información"/>
    <s v="Si"/>
    <n v="27"/>
    <s v="131-22"/>
    <s v="2 - Mejorar la calidad de la información producida por el sector minero energético."/>
    <x v="16"/>
    <s v="Divulgación"/>
    <n v="80111620"/>
    <x v="13"/>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3630000"/>
    <m/>
    <n v="3630000"/>
    <m/>
    <n v="9798876"/>
    <m/>
    <m/>
    <n v="42468876"/>
    <n v="42468876"/>
    <n v="0"/>
    <n v="0"/>
    <n v="0"/>
  </r>
  <r>
    <x v="0"/>
    <x v="6"/>
    <s v="G. Información"/>
    <s v="Si"/>
    <n v="27"/>
    <s v="131-23"/>
    <s v="2 - Mejorar la calidad de la información producida por el sector minero energético."/>
    <x v="16"/>
    <s v="Divulgación"/>
    <n v="43232605"/>
    <x v="13"/>
    <s v="Software-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m/>
    <m/>
    <n v="27997791"/>
    <n v="27997791"/>
    <n v="0"/>
    <n v="0"/>
    <n v="0"/>
  </r>
  <r>
    <x v="0"/>
    <x v="6"/>
    <s v="G. Información"/>
    <s v="Si"/>
    <n v="4"/>
    <s v="131-24"/>
    <s v="2 - Mejorar la calidad de la información producida por el sector minero energético."/>
    <x v="16"/>
    <s v="Divulgación"/>
    <n v="80111620"/>
    <x v="13"/>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m/>
    <m/>
    <n v="12397420"/>
    <n v="12397420"/>
    <n v="0"/>
    <n v="0"/>
    <n v="0"/>
  </r>
  <r>
    <x v="0"/>
    <x v="6"/>
    <s v="G. Información"/>
    <s v="Si"/>
    <n v="44"/>
    <s v="131-25"/>
    <s v="2 - Mejorar la calidad de la información producida por el sector minero energético."/>
    <x v="17"/>
    <s v="Diseño técnico y funcional"/>
    <n v="80111620"/>
    <x v="15"/>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27980000"/>
    <n v="27980000"/>
    <s v="No"/>
    <s v="N/A"/>
    <s v="Johanna Stella Castellanos"/>
    <s v="Subdirectora de Gestión de la Información"/>
    <n v="6012220601"/>
    <s v="johanna.castellanos@upme.gov.co"/>
    <m/>
    <m/>
    <m/>
    <m/>
    <m/>
    <m/>
    <m/>
    <m/>
    <m/>
    <m/>
    <m/>
    <m/>
    <m/>
    <m/>
    <m/>
    <m/>
    <m/>
    <m/>
    <m/>
    <m/>
    <m/>
    <m/>
    <m/>
    <m/>
    <n v="27980000"/>
    <n v="27980000"/>
    <n v="27980000"/>
    <n v="27980000"/>
    <n v="0"/>
    <n v="0"/>
    <n v="0"/>
  </r>
  <r>
    <x v="0"/>
    <x v="6"/>
    <s v="G. Información"/>
    <s v="Si"/>
    <n v="35"/>
    <s v="131-26"/>
    <s v="2 - Mejorar la calidad de la información producida por el sector minero energético."/>
    <x v="17"/>
    <s v="Pruebas y aseguramiento de calidad"/>
    <n v="80111620"/>
    <x v="15"/>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2000000"/>
    <n v="32000000"/>
    <s v="No"/>
    <s v="N/A"/>
    <s v="Johanna Stella Castellanos"/>
    <s v="Subdirectora de Gestión de la Información"/>
    <n v="6012220601"/>
    <s v="johanna.castellanos@upme.gov.co"/>
    <m/>
    <m/>
    <m/>
    <m/>
    <m/>
    <m/>
    <m/>
    <m/>
    <m/>
    <m/>
    <m/>
    <m/>
    <n v="31200000"/>
    <m/>
    <m/>
    <m/>
    <n v="-1200000"/>
    <n v="6000000"/>
    <m/>
    <n v="6000000"/>
    <m/>
    <n v="6000000"/>
    <m/>
    <n v="12000000"/>
    <n v="2000000"/>
    <n v="2000000"/>
    <n v="32000000"/>
    <n v="32000000"/>
    <n v="0"/>
    <n v="0"/>
    <n v="0"/>
  </r>
  <r>
    <x v="0"/>
    <x v="6"/>
    <s v="G. Información"/>
    <s v="Si"/>
    <n v="6"/>
    <s v="131-27"/>
    <s v="2 - Mejorar la calidad de la información producida por el sector minero energético."/>
    <x v="17"/>
    <s v="Pruebas y aseguramiento de calidad"/>
    <n v="80111620"/>
    <x v="15"/>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m/>
    <m/>
    <n v="45000000"/>
    <n v="45000000"/>
    <n v="0"/>
    <n v="0"/>
    <n v="0"/>
  </r>
  <r>
    <x v="0"/>
    <x v="6"/>
    <s v="G. Información"/>
    <s v="Si"/>
    <n v="35"/>
    <s v="131-28"/>
    <s v="2 - Mejorar la calidad de la información producida por el sector minero energético."/>
    <x v="17"/>
    <s v="Pruebas y aseguramiento de calidad"/>
    <n v="80111620"/>
    <x v="15"/>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
    <s v="Agosto"/>
    <s v="Agosto"/>
    <s v="Agosto"/>
    <n v="5"/>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m/>
    <m/>
    <n v="27000000"/>
    <m/>
    <m/>
    <n v="400000"/>
    <n v="-2600000"/>
    <n v="6000000"/>
    <m/>
    <n v="6000000"/>
    <m/>
    <n v="12000000"/>
    <n v="5600000"/>
    <n v="5600000"/>
    <n v="30000000"/>
    <n v="30000000"/>
    <n v="0"/>
    <n v="0"/>
    <n v="0"/>
  </r>
  <r>
    <x v="0"/>
    <x v="6"/>
    <s v="G. Información"/>
    <s v="Si"/>
    <n v="3"/>
    <s v="131-29"/>
    <s v="2 - Mejorar la calidad de la información producida por el sector minero energético."/>
    <x v="17"/>
    <s v="Pruebas y aseguramiento de calidad"/>
    <n v="80111620"/>
    <x v="15"/>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m/>
    <m/>
    <n v="2000000"/>
    <n v="2000000"/>
    <n v="0"/>
    <n v="0"/>
    <n v="0"/>
  </r>
  <r>
    <x v="0"/>
    <x v="6"/>
    <s v="G. Información"/>
    <s v="Si"/>
    <n v="6"/>
    <s v="131-30"/>
    <s v="2 - Mejorar la calidad de la información producida por el sector minero energético."/>
    <x v="17"/>
    <s v="Pruebas y aseguramiento de calidad"/>
    <n v="80111620"/>
    <x v="15"/>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m/>
    <m/>
    <n v="10200000"/>
    <n v="10200000"/>
    <n v="0"/>
    <n v="0"/>
    <n v="0"/>
  </r>
  <r>
    <x v="0"/>
    <x v="6"/>
    <s v="G. Información"/>
    <s v="Si"/>
    <n v="35"/>
    <s v="131-31"/>
    <s v="2 - Mejorar la calidad de la información producida por el sector minero energético."/>
    <x v="17"/>
    <s v="Pruebas y aseguramiento de calidad"/>
    <n v="80111620"/>
    <x v="15"/>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m/>
    <m/>
    <n v="76206667"/>
    <n v="76206667"/>
    <n v="0"/>
    <n v="0"/>
    <n v="0"/>
  </r>
  <r>
    <x v="0"/>
    <x v="6"/>
    <s v="G. Información"/>
    <s v="Si"/>
    <n v="40"/>
    <s v="131-32"/>
    <s v="2 - Mejorar la calidad de la información producida por el sector minero energético."/>
    <x v="17"/>
    <s v="Pruebas y aseguramiento de calidad"/>
    <n v="80111620"/>
    <x v="15"/>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m/>
    <m/>
    <n v="37800000"/>
    <n v="37800000"/>
    <n v="0"/>
    <n v="0"/>
    <n v="0"/>
  </r>
  <r>
    <x v="0"/>
    <x v="6"/>
    <s v="G. Información"/>
    <s v="Si"/>
    <n v="35"/>
    <s v="131-33"/>
    <s v="2 - Mejorar la calidad de la información producida por el sector minero energético."/>
    <x v="17"/>
    <s v="Pruebas y aseguramiento de calidad"/>
    <n v="80111620"/>
    <x v="15"/>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m/>
    <m/>
    <n v="11831673"/>
    <n v="11831673"/>
    <n v="0"/>
    <n v="0"/>
    <n v="0"/>
  </r>
  <r>
    <x v="0"/>
    <x v="6"/>
    <s v="G. Información"/>
    <s v="Si"/>
    <n v="35"/>
    <s v="131-34"/>
    <s v="3 - Implementar una adecuada estrategia de comunicación y divulgación de la información del sector minero energético."/>
    <x v="18"/>
    <s v="Desarrollo"/>
    <n v="80111620"/>
    <x v="14"/>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m/>
    <m/>
    <n v="7769439"/>
    <n v="7769439"/>
    <n v="0"/>
    <n v="0"/>
    <n v="0"/>
  </r>
  <r>
    <x v="0"/>
    <x v="6"/>
    <s v="G. Información"/>
    <s v="Si"/>
    <n v="35"/>
    <s v="131-35"/>
    <s v="3 - Implementar una adecuada estrategia de comunicación y divulgación de la información del sector minero energético."/>
    <x v="18"/>
    <s v="Desarrollo"/>
    <n v="80111620"/>
    <x v="14"/>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7"/>
    <m/>
    <m/>
    <m/>
    <m/>
    <m/>
    <m/>
    <m/>
    <m/>
    <m/>
    <m/>
    <m/>
    <m/>
    <m/>
    <m/>
    <m/>
    <m/>
    <m/>
    <m/>
    <n v="2933333"/>
    <m/>
    <m/>
    <n v="2933333"/>
    <n v="2933333"/>
    <n v="0"/>
    <n v="0"/>
    <n v="0"/>
  </r>
  <r>
    <x v="0"/>
    <x v="6"/>
    <s v="G. Información"/>
    <s v="Si"/>
    <n v="47"/>
    <s v="131-36"/>
    <s v="3 - Implementar una adecuada estrategia de comunicación y divulgación de la información del sector minero energético."/>
    <x v="18"/>
    <s v="Desarrollo"/>
    <n v="43233600"/>
    <x v="14"/>
    <s v="Software-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60000000"/>
    <n v="60000000"/>
    <s v="No"/>
    <s v="N/A"/>
    <s v="Johanna Stella Castellanos"/>
    <s v="Subdirectora de Gestión de la Información"/>
    <n v="6012220601"/>
    <s v="johanna.castellanos@upme.gov.co"/>
    <m/>
    <m/>
    <m/>
    <m/>
    <m/>
    <m/>
    <m/>
    <m/>
    <m/>
    <m/>
    <m/>
    <m/>
    <m/>
    <m/>
    <m/>
    <m/>
    <m/>
    <m/>
    <n v="52000000"/>
    <m/>
    <m/>
    <n v="52000000"/>
    <m/>
    <m/>
    <n v="8000000"/>
    <n v="8000000"/>
    <n v="60000000"/>
    <n v="60000000"/>
    <n v="0"/>
    <n v="0"/>
    <n v="0"/>
  </r>
  <r>
    <x v="0"/>
    <x v="6"/>
    <s v="G. Información"/>
    <s v="Si"/>
    <n v="4"/>
    <s v="131-37"/>
    <s v="3 - Implementar una adecuada estrategia de comunicación y divulgación de la información del sector minero energético."/>
    <x v="18"/>
    <s v="Pruebas y aseguramiento de calidad"/>
    <n v="80111620"/>
    <x v="14"/>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n v="11111548"/>
    <m/>
    <n v="9728192"/>
    <m/>
    <m/>
    <m/>
    <m/>
    <n v="20839740"/>
    <n v="20839740"/>
    <n v="0"/>
    <n v="0"/>
    <n v="0"/>
  </r>
  <r>
    <x v="0"/>
    <x v="6"/>
    <s v="G. Información"/>
    <s v="Si"/>
    <n v="24"/>
    <s v="131-38"/>
    <s v="3 - Implementar una adecuada estrategia de comunicación y divulgación de la información del sector minero energético."/>
    <x v="18"/>
    <s v="Pruebas y aseguramiento de calidad"/>
    <n v="80111620"/>
    <x v="14"/>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m/>
    <m/>
    <n v="84763894"/>
    <n v="84763894"/>
    <n v="0"/>
    <n v="0"/>
    <n v="0"/>
  </r>
  <r>
    <x v="0"/>
    <x v="6"/>
    <s v="G. Información"/>
    <s v="Si"/>
    <n v="6"/>
    <s v="131-39"/>
    <s v="3 - Implementar una adecuada estrategia de comunicación y divulgación de la información del sector minero energético."/>
    <x v="18"/>
    <s v="Pruebas y aseguramiento de calidad"/>
    <n v="80111620"/>
    <x v="14"/>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6.67"/>
    <m/>
    <m/>
    <n v="84000000"/>
    <n v="84000000"/>
    <n v="0"/>
    <n v="0"/>
    <n v="0"/>
  </r>
  <r>
    <x v="0"/>
    <x v="6"/>
    <s v="G. Información"/>
    <s v="Si"/>
    <n v="24"/>
    <s v="131-40"/>
    <s v="3 - Implementar una adecuada estrategia de comunicación y divulgación de la información del sector minero energético."/>
    <x v="18"/>
    <s v="Pruebas y aseguramiento de calidad"/>
    <n v="80111620"/>
    <x v="14"/>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m/>
    <m/>
    <n v="147348692"/>
    <n v="147348692"/>
    <n v="0"/>
    <n v="0"/>
    <n v="0"/>
  </r>
  <r>
    <x v="0"/>
    <x v="6"/>
    <s v="G. Información"/>
    <s v="Si"/>
    <n v="24"/>
    <s v="131-41"/>
    <s v="3 - Implementar una adecuada estrategia de comunicación y divulgación de la información del sector minero energético."/>
    <x v="18"/>
    <s v="Pruebas y aseguramiento de calidad"/>
    <n v="80111620"/>
    <x v="14"/>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m/>
    <m/>
    <n v="44933333"/>
    <n v="44933333"/>
    <n v="0"/>
    <n v="0"/>
    <n v="0"/>
  </r>
  <r>
    <x v="0"/>
    <x v="6"/>
    <s v="G. Información"/>
    <s v="Si"/>
    <n v="24"/>
    <s v="131-42"/>
    <s v="3 - Implementar una adecuada estrategia de comunicación y divulgación de la información del sector minero energético."/>
    <x v="18"/>
    <s v="Pruebas y aseguramiento de calidad"/>
    <n v="80111620"/>
    <x v="14"/>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8145355"/>
    <n v="28145355"/>
    <s v="No"/>
    <s v="N/A"/>
    <s v="Johanna Stella Castellanos"/>
    <s v="Subdirectora de Gestión de la Información"/>
    <n v="6012220601"/>
    <s v="johanna.castellanos@upme.gov.co"/>
    <m/>
    <m/>
    <m/>
    <m/>
    <m/>
    <m/>
    <n v="28145355"/>
    <m/>
    <m/>
    <m/>
    <n v="-876120"/>
    <n v="4271085"/>
    <m/>
    <n v="3285450"/>
    <m/>
    <n v="3285450"/>
    <m/>
    <n v="3285450"/>
    <m/>
    <n v="3285450"/>
    <m/>
    <n v="3285450"/>
    <m/>
    <n v="6570900"/>
    <n v="876120"/>
    <n v="876120"/>
    <n v="28145355"/>
    <n v="28145355"/>
    <n v="0"/>
    <n v="0"/>
    <n v="0"/>
  </r>
  <r>
    <x v="0"/>
    <x v="6"/>
    <s v="G. Información"/>
    <s v="Si"/>
    <n v="35"/>
    <s v="131-43"/>
    <s v="3 - Implementar una adecuada estrategia de comunicación y divulgación de la información del sector minero energético."/>
    <x v="19"/>
    <s v="Realizar la recolección y procesamiento de la información"/>
    <n v="78111502"/>
    <x v="16"/>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1000000"/>
    <n v="21000000"/>
    <s v="No"/>
    <s v="N/A"/>
    <s v="Johanna Stella Castellanos"/>
    <s v="Subdirectora de Gestión de la Información"/>
    <n v="6012220601"/>
    <s v="johanna.castellanos@upme.gov.co"/>
    <m/>
    <m/>
    <m/>
    <m/>
    <m/>
    <m/>
    <m/>
    <m/>
    <m/>
    <m/>
    <n v="20000000"/>
    <m/>
    <m/>
    <m/>
    <m/>
    <n v="3310452"/>
    <m/>
    <n v="3769762"/>
    <m/>
    <m/>
    <m/>
    <m/>
    <m/>
    <n v="12919786"/>
    <n v="1000000"/>
    <n v="1000000"/>
    <n v="21000000"/>
    <n v="21000000"/>
    <n v="0"/>
    <n v="0"/>
    <n v="0"/>
  </r>
  <r>
    <x v="0"/>
    <x v="6"/>
    <s v="G. Información"/>
    <s v="Si"/>
    <n v="13"/>
    <s v="131-44"/>
    <s v="3 - Implementar una adecuada estrategia de comunicación y divulgación de la información del sector minero energético."/>
    <x v="19"/>
    <s v="Realizar la recolección y procesamiento de la información"/>
    <n v="80141607"/>
    <x v="16"/>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m/>
    <m/>
    <n v="34000000"/>
    <n v="34000000"/>
    <n v="0"/>
    <n v="0"/>
    <n v="0"/>
  </r>
  <r>
    <x v="0"/>
    <x v="6"/>
    <s v="G. Información"/>
    <s v="Si"/>
    <n v="35"/>
    <s v="131-45"/>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m/>
    <m/>
    <n v="65400000"/>
    <n v="65400000"/>
    <n v="0"/>
    <n v="0"/>
    <n v="0"/>
  </r>
  <r>
    <x v="0"/>
    <x v="6"/>
    <s v="G. Información"/>
    <s v="Si"/>
    <n v="6"/>
    <s v="131-46"/>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m/>
    <m/>
    <n v="80500000"/>
    <n v="80500000"/>
    <n v="0"/>
    <n v="0"/>
    <n v="0"/>
  </r>
  <r>
    <x v="0"/>
    <x v="6"/>
    <s v="G. Información"/>
    <s v="Si"/>
    <s v="75 (30/12/2024)"/>
    <s v="131-47"/>
    <s v="3 - Implementar una adecuada estrategia de comunicación y divulgación de la información del sector minero energético."/>
    <x v="19"/>
    <s v="Desarrollar el proceso de divulgación"/>
    <s v="N/A"/>
    <x v="16"/>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m/>
    <m/>
    <n v="4775582"/>
    <n v="4775582"/>
    <m/>
    <m/>
    <n v="17726220"/>
    <n v="17726220"/>
    <n v="0"/>
    <n v="0"/>
    <n v="0"/>
  </r>
  <r>
    <x v="0"/>
    <x v="6"/>
    <s v="G. Información"/>
    <s v="Si"/>
    <n v="35"/>
    <s v="131-48"/>
    <s v="3 - Implementar una adecuada estrategia de comunicación y divulgación de la información del sector minero energético."/>
    <x v="19"/>
    <s v="Desarrollar el proceso de divulgación"/>
    <n v="80111620"/>
    <x v="16"/>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m/>
    <m/>
    <n v="80880000"/>
    <n v="80880000"/>
    <n v="0"/>
    <n v="0"/>
    <n v="0"/>
  </r>
  <r>
    <x v="0"/>
    <x v="6"/>
    <s v="G. Información"/>
    <s v="Si"/>
    <n v="6"/>
    <s v="131-49"/>
    <s v="3 - Implementar una adecuada estrategia de comunicación y divulgación de la información del sector minero energético."/>
    <x v="19"/>
    <s v="Desarrollar el proceso de divulgación"/>
    <n v="80111620"/>
    <x v="16"/>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1419000"/>
    <n v="41419000"/>
    <s v="No"/>
    <s v="N/A"/>
    <s v="Johanna Stella Castellanos"/>
    <s v="Subdirectora de Gestión de la Información"/>
    <n v="6012220601"/>
    <s v="johanna.castellanos@upme.gov.co"/>
    <m/>
    <m/>
    <n v="41419000"/>
    <m/>
    <m/>
    <n v="2961000"/>
    <n v="-658000"/>
    <n v="3696445"/>
    <m/>
    <n v="3290000"/>
    <m/>
    <n v="3900742"/>
    <m/>
    <n v="3290000"/>
    <m/>
    <n v="3290000"/>
    <m/>
    <n v="3290000"/>
    <m/>
    <n v="3290000"/>
    <m/>
    <n v="3290000"/>
    <m/>
    <n v="10462813"/>
    <n v="658000"/>
    <n v="658000"/>
    <n v="41419000"/>
    <n v="41419000"/>
    <n v="0"/>
    <n v="0"/>
    <n v="0"/>
  </r>
  <r>
    <x v="0"/>
    <x v="6"/>
    <s v="G. Información"/>
    <s v="Si"/>
    <n v="35"/>
    <s v="131-50"/>
    <s v="3 - Implementar una adecuada estrategia de comunicación y divulgación de la información del sector minero energético."/>
    <x v="19"/>
    <s v="Desarrollar el proceso de divulgación"/>
    <n v="80111620"/>
    <x v="16"/>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6920000"/>
    <n v="6920000"/>
    <s v="No"/>
    <s v="N/A"/>
    <s v="Johanna Stella Castellanos"/>
    <s v="Subdirectora de Gestión de la Información"/>
    <n v="6012220601"/>
    <s v="johanna.castellanos@upme.gov.co"/>
    <m/>
    <m/>
    <m/>
    <m/>
    <m/>
    <m/>
    <m/>
    <m/>
    <m/>
    <m/>
    <m/>
    <m/>
    <m/>
    <m/>
    <m/>
    <m/>
    <n v="4839215"/>
    <m/>
    <m/>
    <m/>
    <m/>
    <n v="3285450"/>
    <m/>
    <n v="1553765"/>
    <n v="2080785"/>
    <n v="2080785"/>
    <n v="6920000"/>
    <n v="6920000"/>
    <n v="0"/>
    <n v="0"/>
    <n v="0"/>
  </r>
  <r>
    <x v="0"/>
    <x v="6"/>
    <s v="G. Información"/>
    <s v="Si"/>
    <n v="35"/>
    <s v="131-51"/>
    <s v="3 - Implementar una adecuada estrategia de comunicación y divulgación de la información del sector minero energético."/>
    <x v="18"/>
    <s v="Desarrollo"/>
    <n v="80111620"/>
    <x v="14"/>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m/>
    <m/>
    <n v="39315186"/>
    <n v="39315186"/>
    <n v="0"/>
    <n v="0"/>
    <n v="0"/>
  </r>
  <r>
    <x v="0"/>
    <x v="6"/>
    <s v="G. Información"/>
    <s v="Si"/>
    <n v="47"/>
    <s v="131-52"/>
    <s v="3 - Implementar una adecuada estrategia de comunicación y divulgación de la información del sector minero energético."/>
    <x v="18"/>
    <s v="Desarrollo"/>
    <n v="80111620"/>
    <x v="14"/>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Octubre"/>
    <n v="3"/>
    <s v="Meses"/>
    <s v="Contratación directa"/>
    <s v="Propios - 21 - Otros recursos de tesorería"/>
    <n v="30000000"/>
    <n v="30000000"/>
    <s v="No"/>
    <s v="N/A"/>
    <s v="Johanna Stella Castellanos"/>
    <s v="Subdirectora de Gestión de la Información"/>
    <n v="6012220601"/>
    <s v="johanna.castellanos@upme.gov.co"/>
    <m/>
    <m/>
    <m/>
    <m/>
    <m/>
    <m/>
    <m/>
    <m/>
    <m/>
    <m/>
    <m/>
    <m/>
    <m/>
    <m/>
    <m/>
    <m/>
    <m/>
    <m/>
    <n v="18933333"/>
    <m/>
    <m/>
    <n v="2933333"/>
    <m/>
    <n v="16000000"/>
    <n v="11066667"/>
    <n v="11066667"/>
    <n v="30000000"/>
    <n v="30000000"/>
    <n v="0"/>
    <n v="0"/>
    <n v="0"/>
  </r>
  <r>
    <x v="0"/>
    <x v="6"/>
    <s v="G. Información"/>
    <s v="Si"/>
    <n v="35"/>
    <s v="131-53"/>
    <s v="3 - Implementar una adecuada estrategia de comunicación y divulgación de la información del sector minero energético."/>
    <x v="18"/>
    <s v="Desarrollo"/>
    <n v="80111620"/>
    <x v="14"/>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m/>
    <m/>
    <n v="18000000"/>
    <n v="18000000"/>
    <n v="0"/>
    <n v="0"/>
    <n v="0"/>
  </r>
  <r>
    <x v="0"/>
    <x v="6"/>
    <s v="G. Información"/>
    <s v="Si"/>
    <n v="16"/>
    <s v="131-54"/>
    <s v="3 - Implementar una adecuada estrategia de comunicación y divulgación de la información del sector minero energético."/>
    <x v="18"/>
    <s v="Pruebas y aseguramiento de calidad"/>
    <n v="43233501"/>
    <x v="14"/>
    <s v="Software-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m/>
    <m/>
    <n v="15688606"/>
    <n v="15688606"/>
    <n v="0"/>
    <n v="0"/>
    <n v="0"/>
  </r>
  <r>
    <x v="0"/>
    <x v="6"/>
    <s v="G. Información"/>
    <s v="Si"/>
    <n v="35"/>
    <s v="131-55"/>
    <s v="2 - Mejorar la calidad de la información producida por el sector minero energético."/>
    <x v="16"/>
    <s v="Divulgación"/>
    <n v="80111620"/>
    <x v="13"/>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4533333"/>
    <n v="4533333"/>
    <s v="No"/>
    <s v="N/A"/>
    <s v="Johanna Stella Castellanos"/>
    <s v="Subdirectora de Gestión de la Información"/>
    <n v="6012220601"/>
    <s v="johanna.castellanos@upme.gov.co"/>
    <m/>
    <m/>
    <m/>
    <m/>
    <m/>
    <m/>
    <m/>
    <m/>
    <m/>
    <m/>
    <m/>
    <m/>
    <n v="4533333"/>
    <m/>
    <m/>
    <m/>
    <n v="-2166667"/>
    <n v="333333"/>
    <m/>
    <m/>
    <m/>
    <m/>
    <m/>
    <n v="2033333"/>
    <n v="2166667"/>
    <n v="2166667"/>
    <n v="4533333"/>
    <n v="4533333"/>
    <n v="0"/>
    <n v="0"/>
    <n v="0"/>
  </r>
  <r>
    <x v="0"/>
    <x v="6"/>
    <s v="G. Información"/>
    <s v="Si"/>
    <n v="35"/>
    <s v="131-56"/>
    <s v="2 - Mejorar la calidad de la información producida por el sector minero energético."/>
    <x v="17"/>
    <s v="Pruebas y aseguramiento de calidad"/>
    <n v="80111620"/>
    <x v="15"/>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n v="4590600"/>
    <m/>
    <n v="4590600"/>
    <m/>
    <n v="1180460"/>
    <m/>
    <m/>
    <n v="10361660"/>
    <n v="10361660"/>
    <n v="0"/>
    <n v="0"/>
    <n v="0"/>
  </r>
  <r>
    <x v="0"/>
    <x v="6"/>
    <s v="G. Información"/>
    <s v="Si"/>
    <n v="35"/>
    <s v="131-57"/>
    <s v="2 - Mejorar la calidad de la información producida por el sector minero energético."/>
    <x v="16"/>
    <s v="Divulgación"/>
    <n v="80111620"/>
    <x v="13"/>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m/>
    <m/>
    <m/>
    <m/>
    <n v="5000000"/>
    <m/>
    <m/>
    <n v="5000000"/>
    <n v="5000000"/>
    <n v="0"/>
    <n v="0"/>
    <n v="0"/>
  </r>
  <r>
    <x v="0"/>
    <x v="6"/>
    <s v="G. Información"/>
    <s v="Si"/>
    <n v="35"/>
    <s v="131-58"/>
    <s v="3 - Implementar una adecuada estrategia de comunicación y divulgación de la información del sector minero energético."/>
    <x v="18"/>
    <s v="Desarrollo"/>
    <n v="80111620"/>
    <x v="14"/>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m/>
    <m/>
    <m/>
    <m/>
    <m/>
    <m/>
    <m/>
    <m/>
    <m/>
    <m/>
    <m/>
    <m/>
    <m/>
    <m/>
    <n v="1035169"/>
    <m/>
    <m/>
    <m/>
    <n v="-918120"/>
    <m/>
    <m/>
    <m/>
    <m/>
    <n v="2883691"/>
    <n v="2766642"/>
    <m/>
    <n v="2883691"/>
    <n v="2883691"/>
    <n v="0"/>
    <n v="0"/>
    <n v="0"/>
  </r>
  <r>
    <x v="0"/>
    <x v="6"/>
    <s v="G. Información"/>
    <s v="Si"/>
    <n v="35"/>
    <s v="131-59"/>
    <s v="3 - Implementar una adecuada estrategia de comunicación y divulgación de la información del sector minero energético."/>
    <x v="18"/>
    <s v="Desarrollo"/>
    <n v="80111620"/>
    <x v="14"/>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6048351"/>
    <n v="6048351"/>
    <s v="No"/>
    <s v="N/A"/>
    <s v="Johanna Stella Castellanos"/>
    <s v="Subdirectora de Gestión de la Información"/>
    <n v="6012220601"/>
    <s v="johanna.castellanos@upme.gov.co"/>
    <m/>
    <m/>
    <m/>
    <m/>
    <m/>
    <m/>
    <m/>
    <m/>
    <m/>
    <m/>
    <m/>
    <m/>
    <m/>
    <m/>
    <n v="2883691"/>
    <m/>
    <m/>
    <m/>
    <m/>
    <m/>
    <m/>
    <m/>
    <m/>
    <n v="117049"/>
    <n v="3164660"/>
    <n v="5931302"/>
    <n v="6048351"/>
    <n v="6048351"/>
    <n v="0"/>
    <n v="0"/>
    <n v="0"/>
  </r>
  <r>
    <x v="0"/>
    <x v="6"/>
    <s v="G. Información"/>
    <s v="Si"/>
    <n v="35"/>
    <s v="131-60"/>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n v="766605"/>
    <m/>
    <m/>
    <m/>
    <n v="3833395"/>
    <m/>
    <m/>
    <n v="4600000"/>
    <n v="4600000"/>
    <n v="0"/>
    <n v="0"/>
    <n v="0"/>
  </r>
  <r>
    <x v="0"/>
    <x v="6"/>
    <s v="G. Información"/>
    <s v="Si"/>
    <n v="35"/>
    <s v="131-61"/>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4907250"/>
    <n v="4907250"/>
    <s v="No"/>
    <s v="N/A"/>
    <s v="Johanna Stella Castellanos"/>
    <s v="Subdirectora de Gestión de la Información"/>
    <n v="6012220601"/>
    <s v="johanna.castellanos@upme.gov.co"/>
    <m/>
    <m/>
    <m/>
    <m/>
    <m/>
    <m/>
    <m/>
    <m/>
    <m/>
    <m/>
    <m/>
    <m/>
    <m/>
    <m/>
    <m/>
    <m/>
    <n v="1183740"/>
    <m/>
    <m/>
    <m/>
    <m/>
    <m/>
    <m/>
    <n v="1183740"/>
    <n v="3723510"/>
    <n v="3723510"/>
    <n v="4907250"/>
    <n v="4907250"/>
    <n v="0"/>
    <n v="0"/>
    <n v="0"/>
  </r>
  <r>
    <x v="0"/>
    <x v="6"/>
    <s v="G. Información"/>
    <s v="Si"/>
    <n v="40"/>
    <s v="131-62"/>
    <s v="2 - Mejorar la calidad de la información producida por el sector minero energético."/>
    <x v="17"/>
    <s v="Pruebas y aseguramiento de calidad"/>
    <n v="80111620"/>
    <x v="15"/>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6600000"/>
    <n v="26600000"/>
    <s v="No"/>
    <s v="N/A"/>
    <s v="Johanna Stella Castellanos"/>
    <s v="Subdirectora de Gestión de la Información"/>
    <n v="6012220601"/>
    <s v="johanna.castellanos@upme.gov.co"/>
    <m/>
    <m/>
    <m/>
    <m/>
    <m/>
    <m/>
    <m/>
    <m/>
    <m/>
    <m/>
    <m/>
    <m/>
    <m/>
    <m/>
    <m/>
    <m/>
    <n v="23616667"/>
    <m/>
    <m/>
    <n v="6650000"/>
    <m/>
    <n v="6650000"/>
    <m/>
    <n v="13300000"/>
    <n v="2983333"/>
    <m/>
    <n v="26600000"/>
    <n v="26600000"/>
    <n v="0"/>
    <n v="0"/>
    <n v="0"/>
  </r>
  <r>
    <x v="0"/>
    <x v="6"/>
    <s v="G. Información"/>
    <s v="Si"/>
    <n v="44"/>
    <s v="131-63"/>
    <s v="2 - Mejorar la calidad de la información producida por el sector minero energético."/>
    <x v="17"/>
    <s v="Diseño técnico y funcional"/>
    <n v="80111620"/>
    <x v="15"/>
    <s v="Prestación de servicios profesionales y/o de apoyo a la gestión"/>
    <s v="131-63 Prestación de servicios de apoyo a la gestión para el desarrollo e implementación de geoprocesos institucionales y fortalecimiento del Geoportal Sectorial"/>
    <s v="Septiembre"/>
    <s v="Septiembre"/>
    <s v="Octubre"/>
    <n v="3"/>
    <s v="Meses"/>
    <s v="Contratación directa - Prestación de servicios profesionales"/>
    <s v="Propios - 20 - Ingresos corrientes"/>
    <n v="7020000"/>
    <n v="7020000"/>
    <s v="No"/>
    <s v="N/A"/>
    <s v="Johanna Stella Castellanos"/>
    <s v="Subdirectora de Gestión de la Información"/>
    <n v="6012220601"/>
    <s v="johanna.castellanos@upme.gov.co"/>
    <m/>
    <m/>
    <m/>
    <m/>
    <m/>
    <m/>
    <m/>
    <m/>
    <m/>
    <m/>
    <m/>
    <m/>
    <m/>
    <m/>
    <m/>
    <m/>
    <m/>
    <m/>
    <n v="7020000"/>
    <m/>
    <m/>
    <n v="2340000"/>
    <m/>
    <n v="4680000"/>
    <m/>
    <m/>
    <n v="7020000"/>
    <n v="7020000"/>
    <n v="0"/>
    <n v="0"/>
    <n v="0"/>
  </r>
  <r>
    <x v="0"/>
    <x v="7"/>
    <s v="Hidrocarburos"/>
    <s v="Si"/>
    <n v="47"/>
    <s v="170-1"/>
    <s v="1 - Fortalecer la planificación de la oferta de hidrocarburos."/>
    <x v="20"/>
    <s v="Documento de planeación preliminar"/>
    <n v="93151509"/>
    <x v="17"/>
    <s v="Software - Suscripciones"/>
    <s v="170-1 Realizar la renovación de la suscripción online de S&amp;P Global Commodity Insights."/>
    <s v="Septiembre"/>
    <s v="Septiembre"/>
    <s v="Noviembre"/>
    <n v="12"/>
    <s v="Meses"/>
    <s v="Contratación directa  - único oferente"/>
    <s v="Propios - 20 - Ingresos corrientes"/>
    <n v="241744916"/>
    <n v="241744916"/>
    <s v="No"/>
    <s v="N/A"/>
    <s v="Mauricio Andres Palma Orozco"/>
    <s v="Subdirector de hidrocarburos"/>
    <n v="6012220601"/>
    <s v="mauricio.palma@upme.gov.co"/>
    <m/>
    <m/>
    <m/>
    <m/>
    <m/>
    <m/>
    <m/>
    <m/>
    <m/>
    <m/>
    <m/>
    <m/>
    <m/>
    <m/>
    <m/>
    <m/>
    <m/>
    <m/>
    <m/>
    <m/>
    <n v="241744916"/>
    <m/>
    <m/>
    <n v="241744916"/>
    <m/>
    <m/>
    <n v="241744916"/>
    <n v="241744916"/>
    <n v="0"/>
    <n v="0"/>
    <n v="0"/>
  </r>
  <r>
    <x v="0"/>
    <x v="7"/>
    <s v="Hidrocarburos"/>
    <s v="Si"/>
    <s v="75 (30/12/2024)"/>
    <s v="170-2"/>
    <s v="1 - Fortalecer la planificación de la oferta de hidrocarburos."/>
    <x v="20"/>
    <s v="Documento de planeación preliminar"/>
    <n v="93151509"/>
    <x v="17"/>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m/>
    <m/>
    <n v="500000000"/>
    <n v="500000000"/>
    <n v="0"/>
    <n v="0"/>
    <n v="0"/>
  </r>
  <r>
    <x v="0"/>
    <x v="7"/>
    <s v="Hidrocarburos"/>
    <s v="Si"/>
    <n v="39"/>
    <s v="170-3"/>
    <s v="1 - Fortalecer la planificación de la oferta de hidrocarburos."/>
    <x v="20"/>
    <s v="Documento de planeación preliminar"/>
    <n v="93151509"/>
    <x v="17"/>
    <s v="Software - Suscripciones"/>
    <s v="170-3 Realizar la adquisición de licencia PipelineStudio™ Software"/>
    <s v="Septiembre"/>
    <s v="Septiembre"/>
    <s v="Octubre"/>
    <n v="12"/>
    <s v="Meses"/>
    <s v="Contratación directa  - único oferente"/>
    <s v="Propios - 20 - Ingresos corrientes"/>
    <n v="269448992"/>
    <n v="269448992"/>
    <s v="No"/>
    <s v="N/A"/>
    <s v="Mauricio Andres Palma Orozco"/>
    <s v="Subdirector de hidrocarburos"/>
    <n v="6012220601"/>
    <s v="mauricio.palma@upme.gov.co"/>
    <m/>
    <m/>
    <m/>
    <m/>
    <m/>
    <m/>
    <m/>
    <m/>
    <m/>
    <m/>
    <m/>
    <m/>
    <m/>
    <m/>
    <m/>
    <m/>
    <m/>
    <m/>
    <m/>
    <m/>
    <n v="269448992"/>
    <m/>
    <m/>
    <n v="269448992"/>
    <m/>
    <m/>
    <n v="269448992"/>
    <n v="269448992"/>
    <n v="0"/>
    <n v="0"/>
    <n v="0"/>
  </r>
  <r>
    <x v="0"/>
    <x v="7"/>
    <s v="Hidrocarburos"/>
    <s v="Si"/>
    <n v="27"/>
    <s v="170-4"/>
    <s v="1 - Fortalecer la planificación de la oferta de hidrocarburos."/>
    <x v="20"/>
    <s v="Documento de planeación preliminar"/>
    <n v="80111620"/>
    <x v="17"/>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m/>
    <m/>
    <n v="112894320"/>
    <n v="112894320"/>
    <n v="0"/>
    <n v="0"/>
    <n v="0"/>
  </r>
  <r>
    <x v="0"/>
    <x v="7"/>
    <s v="Hidrocarburos"/>
    <s v="Si"/>
    <s v="75 (30/12/2024)"/>
    <s v="170-5"/>
    <s v="1 - Fortalecer la planificación de la oferta de hidrocarburos."/>
    <x v="20"/>
    <s v="Documento de planeación preliminar"/>
    <n v="80111620"/>
    <x v="17"/>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999100"/>
    <n v="115999100"/>
    <s v="No"/>
    <s v="N/A"/>
    <s v="Mauricio Andres Palma Orozco"/>
    <s v="Subdirector de hidrocarburos"/>
    <n v="6012220601"/>
    <s v="mauricio.palma@upme.gov.co"/>
    <n v="115999100"/>
    <m/>
    <m/>
    <m/>
    <m/>
    <n v="10418100"/>
    <m/>
    <n v="10418100"/>
    <m/>
    <n v="10418100"/>
    <m/>
    <n v="10772767"/>
    <m/>
    <n v="10418100"/>
    <m/>
    <n v="10418100"/>
    <m/>
    <n v="10418100"/>
    <m/>
    <n v="10728779"/>
    <m/>
    <n v="10418100"/>
    <m/>
    <n v="20836200"/>
    <m/>
    <n v="734654"/>
    <n v="115999100"/>
    <n v="115999100"/>
    <n v="0"/>
    <n v="0"/>
    <n v="0"/>
  </r>
  <r>
    <x v="0"/>
    <x v="7"/>
    <s v="Hidrocarburos"/>
    <s v="Si"/>
    <n v="26"/>
    <s v="170-6"/>
    <s v="1 - Fortalecer la planificación de la oferta de hidrocarburos."/>
    <x v="20"/>
    <s v="Documento de planeación preliminar"/>
    <n v="80111620"/>
    <x v="17"/>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m/>
    <m/>
    <n v="100984271"/>
    <n v="100984271"/>
    <n v="0"/>
    <n v="0"/>
    <n v="0"/>
  </r>
  <r>
    <x v="0"/>
    <x v="7"/>
    <s v="Hidrocarburos"/>
    <s v="Si"/>
    <n v="46"/>
    <s v="170-7"/>
    <s v="1 - Fortalecer la planificación de la oferta de hidrocarburos."/>
    <x v="20"/>
    <s v="Documento de planeación preliminar"/>
    <n v="80111620"/>
    <x v="17"/>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683174"/>
    <n v="115683174"/>
    <s v="No"/>
    <s v="N/A"/>
    <s v="Mauricio Andres Palma Orozco"/>
    <s v="Subdirector de hidrocarburos"/>
    <n v="6012220601"/>
    <s v="mauricio.palma@upme.gov.co"/>
    <n v="115599100"/>
    <m/>
    <m/>
    <m/>
    <m/>
    <n v="10418100"/>
    <m/>
    <n v="10418100"/>
    <m/>
    <n v="10960137"/>
    <m/>
    <n v="10418100"/>
    <m/>
    <n v="10418100"/>
    <m/>
    <n v="10418100"/>
    <m/>
    <n v="10418100"/>
    <n v="84074"/>
    <n v="10418100"/>
    <m/>
    <n v="10960137"/>
    <m/>
    <n v="20836200"/>
    <m/>
    <m/>
    <n v="115683174"/>
    <n v="115683174"/>
    <n v="0"/>
    <n v="0"/>
    <n v="0"/>
  </r>
  <r>
    <x v="0"/>
    <x v="7"/>
    <s v="Hidrocarburos"/>
    <s v="Si"/>
    <n v="26"/>
    <s v="170-8"/>
    <s v="1 - Fortalecer la planificación de la oferta de hidrocarburos."/>
    <x v="20"/>
    <s v="Documento de planeación preliminar"/>
    <n v="80111620"/>
    <x v="17"/>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m/>
    <m/>
    <n v="35437675"/>
    <n v="35437675"/>
    <n v="0"/>
    <n v="0"/>
    <n v="0"/>
  </r>
  <r>
    <x v="0"/>
    <x v="7"/>
    <s v="Hidrocarburos"/>
    <s v="Si"/>
    <n v="26"/>
    <s v="170-9"/>
    <s v="1 - Fortalecer la planificación de la oferta de hidrocarburos."/>
    <x v="20"/>
    <s v="Documento de planeación preliminar"/>
    <n v="80111620"/>
    <x v="17"/>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m/>
    <m/>
    <n v="102907805"/>
    <n v="102907805"/>
    <n v="0"/>
    <n v="0"/>
    <n v="0"/>
  </r>
  <r>
    <x v="0"/>
    <x v="7"/>
    <s v="Hidrocarburos"/>
    <s v="Si"/>
    <n v="26"/>
    <s v="170-10"/>
    <s v="1 - Fortalecer la planificación de la oferta de hidrocarburos."/>
    <x v="20"/>
    <s v="Documento de planeación preliminar"/>
    <n v="80111620"/>
    <x v="17"/>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m/>
    <m/>
    <n v="82176710"/>
    <n v="82176710"/>
    <n v="0"/>
    <n v="0"/>
    <n v="0"/>
  </r>
  <r>
    <x v="0"/>
    <x v="7"/>
    <s v="Hidrocarburos"/>
    <s v="Si"/>
    <s v="75 (30/12/2024)"/>
    <s v="170-11"/>
    <s v="1 - Fortalecer la planificación de la oferta de hidrocarburos."/>
    <x v="20"/>
    <s v="Documento de planeación preliminar"/>
    <n v="80111620"/>
    <x v="17"/>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m/>
    <m/>
    <m/>
    <m/>
    <n v="1259026"/>
    <m/>
    <m/>
    <n v="9759026"/>
    <n v="9759026"/>
    <n v="0"/>
    <n v="0"/>
    <n v="0"/>
  </r>
  <r>
    <x v="0"/>
    <x v="7"/>
    <s v="Hidrocarburos"/>
    <s v="Si"/>
    <s v="75 (30/12/2024)"/>
    <s v="170-12"/>
    <s v="1 - Fortalecer la planificación de la oferta de hidrocarburos."/>
    <x v="20"/>
    <s v="Documento de planeación preliminar"/>
    <n v="80111620"/>
    <x v="17"/>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m/>
    <m/>
    <m/>
    <m/>
    <n v="6214961"/>
    <m/>
    <m/>
    <n v="9759026"/>
    <n v="9759026"/>
    <n v="0"/>
    <n v="0"/>
    <n v="0"/>
  </r>
  <r>
    <x v="0"/>
    <x v="7"/>
    <s v="Hidrocarburos"/>
    <s v="Si"/>
    <n v="26"/>
    <s v="170-13"/>
    <s v="1 - Fortalecer la planificación de la oferta de hidrocarburos."/>
    <x v="20"/>
    <s v="Documento de planeación preliminar"/>
    <n v="80111620"/>
    <x v="17"/>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4915480"/>
    <n v="114915480"/>
    <s v="No"/>
    <s v="N/A"/>
    <s v="Mauricio Andres Palma Orozco"/>
    <s v="Subdirector de hidrocarburos"/>
    <n v="6012220601"/>
    <s v="mauricio.palma@upme.gov.co"/>
    <m/>
    <m/>
    <n v="115999100"/>
    <m/>
    <m/>
    <n v="8334480"/>
    <n v="-2083620"/>
    <n v="10418100"/>
    <m/>
    <n v="10418100"/>
    <m/>
    <n v="10418100"/>
    <n v="1000000"/>
    <n v="10418100"/>
    <m/>
    <n v="10960137"/>
    <m/>
    <n v="10418100"/>
    <m/>
    <n v="10418100"/>
    <m/>
    <n v="10418100"/>
    <m/>
    <n v="20836200"/>
    <m/>
    <n v="1857963"/>
    <n v="114915480"/>
    <n v="114915480"/>
    <n v="0"/>
    <n v="0"/>
    <n v="0"/>
  </r>
  <r>
    <x v="0"/>
    <x v="7"/>
    <s v="Hidrocarburos"/>
    <s v="Si"/>
    <s v="75 (30/12/2024)"/>
    <s v="170-14"/>
    <s v="1 - Fortalecer la planificación de la oferta de hidrocarburos."/>
    <x v="20"/>
    <s v="Documento de planeación preliminar"/>
    <s v="N/A"/>
    <x v="17"/>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5000000"/>
    <n v="35000000"/>
    <s v="No"/>
    <s v="N/A"/>
    <s v="Mauricio Andres Palma Orozco"/>
    <s v="Subdirector de hidrocarburos"/>
    <n v="6012220601"/>
    <s v="mauricio.palma@upme.gov.co"/>
    <m/>
    <m/>
    <m/>
    <m/>
    <n v="2158125"/>
    <n v="2158125"/>
    <n v="3571557"/>
    <n v="3571557"/>
    <n v="4724297"/>
    <n v="2661633"/>
    <n v="1037712"/>
    <n v="3100376"/>
    <n v="3462505"/>
    <n v="3462505"/>
    <m/>
    <m/>
    <n v="2559450"/>
    <n v="2286184"/>
    <n v="1300000"/>
    <n v="1300000"/>
    <n v="3900000"/>
    <n v="3900000"/>
    <n v="12286354"/>
    <n v="12559620"/>
    <m/>
    <m/>
    <n v="35000000"/>
    <n v="35000000"/>
    <n v="0"/>
    <n v="0"/>
    <n v="0"/>
  </r>
  <r>
    <x v="0"/>
    <x v="7"/>
    <s v="Hidrocarburos"/>
    <s v="Si"/>
    <s v="75 (30/12/2024)"/>
    <s v="170-15"/>
    <s v="1 - Fortalecer la planificación de la oferta de hidrocarburos."/>
    <x v="20"/>
    <s v="Documento de planeación preliminar"/>
    <n v="80111620"/>
    <x v="17"/>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n v="700000"/>
    <m/>
    <n v="700000"/>
    <m/>
    <n v="700000"/>
    <m/>
    <n v="1400000"/>
    <m/>
    <m/>
    <n v="8050000"/>
    <n v="8050000"/>
    <n v="0"/>
    <n v="0"/>
    <n v="0"/>
  </r>
  <r>
    <x v="0"/>
    <x v="7"/>
    <s v="Hidrocarburos"/>
    <s v="Si"/>
    <n v="4"/>
    <s v="170-16"/>
    <s v="1 - Fortalecer la planificación de la oferta de hidrocarburos."/>
    <x v="20"/>
    <s v="Documento de planeación preliminar"/>
    <n v="80111620"/>
    <x v="17"/>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m/>
    <m/>
    <n v="11400000"/>
    <n v="11400000"/>
    <n v="0"/>
    <n v="0"/>
    <n v="0"/>
  </r>
  <r>
    <x v="0"/>
    <x v="7"/>
    <s v="Hidrocarburos"/>
    <s v="Si"/>
    <s v="75 (30/12/2024)"/>
    <s v="170-17"/>
    <s v="1 - Fortalecer la planificación de la oferta de hidrocarburos."/>
    <x v="20"/>
    <s v="Documento de planeación preliminar"/>
    <n v="80111620"/>
    <x v="17"/>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75000000"/>
    <n v="75000000"/>
    <s v="No"/>
    <s v="N/A"/>
    <s v="Mauricio Andres Palma Orozco"/>
    <s v="Subdirector de hidrocarburos"/>
    <n v="6012220601"/>
    <s v="mauricio.palma@upme.gov.co"/>
    <m/>
    <m/>
    <n v="75000000"/>
    <m/>
    <m/>
    <n v="6500000"/>
    <m/>
    <n v="7500000"/>
    <m/>
    <n v="7500000"/>
    <m/>
    <n v="7500000"/>
    <m/>
    <n v="7500000"/>
    <m/>
    <n v="7500000"/>
    <m/>
    <n v="7500000"/>
    <m/>
    <n v="7500000"/>
    <m/>
    <n v="7500000"/>
    <m/>
    <n v="8500000"/>
    <m/>
    <m/>
    <n v="75000000"/>
    <n v="75000000"/>
    <n v="0"/>
    <n v="0"/>
    <n v="0"/>
  </r>
  <r>
    <x v="0"/>
    <x v="7"/>
    <s v="Hidrocarburos"/>
    <s v="Si"/>
    <n v="37"/>
    <s v="170-18"/>
    <s v="1 - Fortalecer la planificación de la oferta de hidrocarburos."/>
    <x v="20"/>
    <s v="Documento de planeación preliminar"/>
    <n v="80111620"/>
    <x v="17"/>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m/>
    <m/>
    <n v="19283470"/>
    <n v="19283470"/>
    <n v="0"/>
    <n v="0"/>
    <n v="0"/>
  </r>
  <r>
    <x v="0"/>
    <x v="7"/>
    <s v="Hidrocarburos"/>
    <s v="Si"/>
    <n v="26"/>
    <s v="170-19"/>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m/>
    <n v="21436200"/>
    <m/>
    <m/>
    <n v="116588180"/>
    <n v="116588180"/>
    <n v="0"/>
    <n v="0"/>
    <n v="0"/>
  </r>
  <r>
    <x v="0"/>
    <x v="7"/>
    <s v="Hidrocarburos"/>
    <s v="Si"/>
    <n v="29"/>
    <s v="170-20"/>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m/>
    <m/>
    <n v="50729596"/>
    <n v="50729596"/>
    <n v="0"/>
    <n v="0"/>
    <n v="0"/>
  </r>
  <r>
    <x v="0"/>
    <x v="7"/>
    <s v="Hidrocarburos"/>
    <s v="Si"/>
    <n v="29"/>
    <s v="170-21"/>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m/>
    <m/>
    <n v="48965070"/>
    <n v="48965070"/>
    <n v="0"/>
    <n v="0"/>
    <n v="0"/>
  </r>
  <r>
    <x v="0"/>
    <x v="7"/>
    <s v="Hidrocarburos"/>
    <s v="Si"/>
    <n v="26"/>
    <s v="170-22"/>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m/>
    <m/>
    <n v="12642630"/>
    <n v="12642630"/>
    <n v="0"/>
    <n v="0"/>
    <n v="0"/>
  </r>
  <r>
    <x v="0"/>
    <x v="7"/>
    <s v="Hidrocarburos"/>
    <s v="Si"/>
    <n v="26"/>
    <s v="170-23"/>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m/>
    <n v="21436200"/>
    <m/>
    <m/>
    <n v="116588180"/>
    <n v="116588180"/>
    <n v="0"/>
    <n v="0"/>
    <n v="0"/>
  </r>
  <r>
    <x v="0"/>
    <x v="7"/>
    <s v="Hidrocarburos"/>
    <s v="Si"/>
    <n v="39"/>
    <s v="170-24"/>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m/>
    <m/>
    <n v="64244950"/>
    <n v="64244950"/>
    <n v="0"/>
    <n v="0"/>
    <n v="0"/>
  </r>
  <r>
    <x v="0"/>
    <x v="7"/>
    <s v="Hidrocarburos"/>
    <s v="Si"/>
    <n v="44"/>
    <s v="170-25"/>
    <s v="2 - Reducir limitaciones que afecten la expansión de infraestructura de suministro de hidrocarburos en el tiempo."/>
    <x v="21"/>
    <s v="Documento con la descripción de procesos, métodos y herramientas"/>
    <n v="78111502"/>
    <x v="18"/>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4200000"/>
    <m/>
    <n v="13579468"/>
    <m/>
    <m/>
    <n v="30899620"/>
    <n v="30899620"/>
    <n v="0"/>
    <n v="0"/>
    <n v="0"/>
  </r>
  <r>
    <x v="0"/>
    <x v="7"/>
    <s v="Hidrocarburos"/>
    <s v="Si"/>
    <n v="26"/>
    <s v="170-26"/>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m/>
    <m/>
    <n v="6992254"/>
    <n v="6992254"/>
    <n v="0"/>
    <n v="0"/>
    <n v="0"/>
  </r>
  <r>
    <x v="0"/>
    <x v="7"/>
    <s v="Hidrocarburos"/>
    <s v="Si"/>
    <n v="44"/>
    <s v="170-27"/>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m/>
    <m/>
    <n v="42325920"/>
    <n v="42325920"/>
    <n v="0"/>
    <n v="0"/>
    <n v="0"/>
  </r>
  <r>
    <x v="0"/>
    <x v="7"/>
    <s v="Hidrocarburos"/>
    <s v="Si"/>
    <n v="47"/>
    <s v="170-28"/>
    <s v="2 - Reducir limitaciones que afecten la expansión de infraestructura de suministro de hidrocarburos en el tiempo."/>
    <x v="21"/>
    <s v="Documento con la descripción de procesos, métodos y herramientas"/>
    <n v="43233600"/>
    <x v="18"/>
    <s v="Software- Licencias"/>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Contratación directa-unico oferente"/>
    <s v="Propios - 20 - Ingresos corrientes"/>
    <n v="32460948"/>
    <n v="32460948"/>
    <s v="No"/>
    <s v="N/A"/>
    <s v="Cesar Augusto Pineda "/>
    <s v="Subdirector de hidrocarburos (E)"/>
    <n v="6012220601"/>
    <s v="cesar.pineda@upme.gov.co"/>
    <m/>
    <m/>
    <m/>
    <m/>
    <m/>
    <m/>
    <m/>
    <m/>
    <m/>
    <m/>
    <m/>
    <m/>
    <m/>
    <m/>
    <m/>
    <m/>
    <m/>
    <m/>
    <n v="32460948"/>
    <m/>
    <m/>
    <n v="32460948"/>
    <m/>
    <m/>
    <m/>
    <m/>
    <n v="32460948"/>
    <n v="32460948"/>
    <n v="0"/>
    <n v="0"/>
    <n v="0"/>
  </r>
  <r>
    <x v="0"/>
    <x v="7"/>
    <s v="Hidrocarburos"/>
    <s v="Si"/>
    <n v="44"/>
    <s v="170-29"/>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m/>
    <m/>
    <n v="0"/>
    <n v="0"/>
    <n v="0"/>
    <n v="0"/>
    <n v="0"/>
  </r>
  <r>
    <x v="0"/>
    <x v="7"/>
    <s v="Hidrocarburos"/>
    <s v="Si"/>
    <n v="37"/>
    <s v="170-30"/>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n v="7900000"/>
    <m/>
    <n v="6500000"/>
    <m/>
    <n v="6500000"/>
    <m/>
    <m/>
    <n v="20900000"/>
    <n v="20900000"/>
    <n v="0"/>
    <n v="0"/>
    <n v="0"/>
  </r>
  <r>
    <x v="0"/>
    <x v="7"/>
    <s v="Hidrocarburos"/>
    <s v="Si"/>
    <n v="30"/>
    <s v="170-31"/>
    <s v="2 - Reducir limitaciones que afecten la expansión de infraestructura de suministro de hidrocarburos en el tiempo."/>
    <x v="21"/>
    <s v="Documento con la descripción de procesos, métodos y herramientas"/>
    <s v="43233501"/>
    <x v="18"/>
    <s v="Software-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m/>
    <m/>
    <n v="19967317"/>
    <n v="19967317"/>
    <n v="0"/>
    <n v="0"/>
    <n v="0"/>
  </r>
  <r>
    <x v="0"/>
    <x v="7"/>
    <s v="Hidrocarburos"/>
    <s v="Si"/>
    <n v="44"/>
    <s v="170-32"/>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43408750"/>
    <n v="43408750"/>
    <s v="No"/>
    <s v="N/A"/>
    <s v="Ingrid Fernanda Vasquez"/>
    <s v="Subdirector de hidrocarburos"/>
    <n v="6012220601"/>
    <s v="ingrid.vasquez@upme.gov.co"/>
    <m/>
    <m/>
    <m/>
    <m/>
    <m/>
    <m/>
    <m/>
    <m/>
    <m/>
    <m/>
    <m/>
    <m/>
    <m/>
    <m/>
    <m/>
    <m/>
    <n v="43408750"/>
    <m/>
    <m/>
    <n v="5556320"/>
    <m/>
    <n v="10418100"/>
    <m/>
    <n v="20836200"/>
    <m/>
    <n v="6598130"/>
    <n v="43408750"/>
    <n v="43408750"/>
    <n v="0"/>
    <n v="0"/>
    <n v="0"/>
  </r>
  <r>
    <x v="0"/>
    <x v="7"/>
    <s v="Hidrocarburos"/>
    <s v="Si"/>
    <n v="44"/>
    <s v="170-33"/>
    <s v="1 - Fortalecer la planificación de la oferta de hidrocarburos."/>
    <x v="20"/>
    <s v="Documento de planeación preliminar"/>
    <n v="80111620"/>
    <x v="17"/>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44166150"/>
    <n v="44166150"/>
    <s v="No"/>
    <s v="N/A"/>
    <s v="Ingrid Fernanda Vasquez"/>
    <s v="Subdirector de hidrocarburos"/>
    <n v="6012220601"/>
    <s v="ingrid.vasquez@upme.gov.co"/>
    <m/>
    <m/>
    <m/>
    <m/>
    <m/>
    <m/>
    <m/>
    <m/>
    <m/>
    <m/>
    <m/>
    <m/>
    <m/>
    <m/>
    <m/>
    <m/>
    <m/>
    <m/>
    <n v="34912290"/>
    <m/>
    <m/>
    <n v="9674490"/>
    <m/>
    <n v="25237800"/>
    <n v="9253860"/>
    <n v="9253860"/>
    <n v="44166150"/>
    <n v="44166150"/>
    <n v="0"/>
    <n v="0"/>
    <n v="0"/>
  </r>
  <r>
    <x v="0"/>
    <x v="7"/>
    <s v="Hidrocarburos"/>
    <s v="Si"/>
    <n v="44"/>
    <s v="170-34"/>
    <s v="1 - Fortalecer la planificación de la oferta de hidrocarburos."/>
    <x v="20"/>
    <s v="Documento de planeación preliminar"/>
    <n v="80111620"/>
    <x v="17"/>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6463350"/>
    <n v="36463350"/>
    <s v="No"/>
    <s v="N/A"/>
    <s v="Ingrid Fernanda Vasquez"/>
    <s v="Subdirector de hidrocarburos"/>
    <n v="6012220601"/>
    <s v="ingrid.vasquez@upme.gov.co"/>
    <m/>
    <m/>
    <m/>
    <m/>
    <m/>
    <m/>
    <m/>
    <m/>
    <m/>
    <m/>
    <m/>
    <m/>
    <m/>
    <m/>
    <m/>
    <m/>
    <n v="32990650"/>
    <m/>
    <n v="347270"/>
    <m/>
    <m/>
    <n v="10418100"/>
    <m/>
    <n v="20836200"/>
    <n v="3125430"/>
    <n v="5209050"/>
    <n v="36463350"/>
    <n v="36463350"/>
    <n v="0"/>
    <n v="0"/>
    <n v="0"/>
  </r>
  <r>
    <x v="0"/>
    <x v="7"/>
    <s v="Hidrocarburos"/>
    <s v="Si"/>
    <n v="44"/>
    <s v="170-35"/>
    <s v="1 - Fortalecer la planificación de la oferta de hidrocarburos."/>
    <x v="20"/>
    <s v="Documento de planeación preliminar"/>
    <n v="80111620"/>
    <x v="17"/>
    <s v="Prestación de servicios profesionales y/o de apoyo a la gestión"/>
    <s v="170-35 Prestar servicios profesionales de apoyo a la gestión para asistir logísticamente y acompañar la consolidación de la información requerida para la elaboración de informes, reportes y documentos técnicos requeridos por la subdirección de hidrocarbur"/>
    <s v="Agosto"/>
    <s v="Agosto"/>
    <s v="Septiembre"/>
    <n v="4"/>
    <s v="Meses"/>
    <s v="Contratación directa - Prestación de servicios profesionales"/>
    <s v="Propios - 20 - Ingresos corrientes"/>
    <n v="14795550"/>
    <n v="14795550"/>
    <s v="No"/>
    <s v="N/A"/>
    <s v="Ingrid Fernanda Vasquez"/>
    <s v="Subdirector de hidrocarburos"/>
    <n v="6012220601"/>
    <s v="ingrid.vasquez@upme.gov.co"/>
    <m/>
    <m/>
    <m/>
    <m/>
    <m/>
    <m/>
    <m/>
    <m/>
    <m/>
    <m/>
    <m/>
    <m/>
    <m/>
    <m/>
    <m/>
    <m/>
    <m/>
    <m/>
    <n v="10045490"/>
    <m/>
    <m/>
    <n v="2783690"/>
    <m/>
    <n v="7261800"/>
    <n v="4750060"/>
    <n v="4750060"/>
    <n v="14795550"/>
    <n v="14795550"/>
    <n v="0"/>
    <n v="0"/>
    <n v="0"/>
  </r>
  <r>
    <x v="0"/>
    <x v="7"/>
    <s v="Hidrocarburos"/>
    <s v="Si"/>
    <n v="44"/>
    <s v="170-36"/>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36463350"/>
    <n v="36463350"/>
    <s v="No"/>
    <s v="N/A"/>
    <s v="Ingrid Fernanda Vasquez"/>
    <s v="Subdirector de hidrocarburos"/>
    <n v="6012220601"/>
    <s v="ingrid.vasquez@upme.gov.co"/>
    <m/>
    <m/>
    <m/>
    <m/>
    <m/>
    <m/>
    <m/>
    <m/>
    <m/>
    <m/>
    <m/>
    <m/>
    <m/>
    <m/>
    <m/>
    <m/>
    <m/>
    <m/>
    <n v="23112180"/>
    <m/>
    <m/>
    <n v="6404580"/>
    <m/>
    <n v="16707600"/>
    <n v="13351170"/>
    <n v="13351170"/>
    <n v="36463350"/>
    <n v="36463350"/>
    <n v="0"/>
    <n v="0"/>
    <n v="0"/>
  </r>
  <r>
    <x v="0"/>
    <x v="7"/>
    <s v="Hidrocarburos"/>
    <s v="Si"/>
    <n v="44"/>
    <s v="170-37"/>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36463350"/>
    <n v="36463350"/>
    <s v="No"/>
    <s v="N/A"/>
    <s v="Ingrid Fernanda Vasquez"/>
    <s v="Subdirector de hidrocarburos"/>
    <n v="6012220601"/>
    <s v="ingrid.vasquez@upme.gov.co"/>
    <m/>
    <m/>
    <m/>
    <m/>
    <m/>
    <m/>
    <m/>
    <m/>
    <m/>
    <m/>
    <m/>
    <m/>
    <m/>
    <m/>
    <m/>
    <m/>
    <n v="32990650"/>
    <m/>
    <m/>
    <m/>
    <m/>
    <n v="9723560"/>
    <m/>
    <n v="20836200"/>
    <n v="3472700"/>
    <n v="5903590"/>
    <n v="36463350"/>
    <n v="36463350"/>
    <n v="0"/>
    <n v="0"/>
    <n v="0"/>
  </r>
  <r>
    <x v="0"/>
    <x v="7"/>
    <s v="Hidrocarburos"/>
    <s v="Si"/>
    <n v="44"/>
    <s v="170-38"/>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33872475"/>
    <n v="33872475"/>
    <s v="No"/>
    <s v="N/A"/>
    <s v="Ingrid Fernanda Vasquez"/>
    <s v="Subdirector de hidrocarburos"/>
    <n v="6012220601"/>
    <s v="ingrid.vasquez@upme.gov.co"/>
    <m/>
    <m/>
    <m/>
    <m/>
    <m/>
    <m/>
    <m/>
    <m/>
    <m/>
    <m/>
    <m/>
    <m/>
    <m/>
    <m/>
    <m/>
    <m/>
    <m/>
    <m/>
    <n v="26775385"/>
    <m/>
    <m/>
    <n v="7419685"/>
    <m/>
    <n v="19355700"/>
    <n v="7097090"/>
    <n v="7097090"/>
    <n v="33872475"/>
    <n v="33872475"/>
    <n v="0"/>
    <n v="0"/>
    <n v="0"/>
  </r>
  <r>
    <x v="0"/>
    <x v="7"/>
    <s v="Hidrocarburos"/>
    <s v="Si"/>
    <n v="47"/>
    <s v="170-39"/>
    <s v="1 - Fortalecer la planificación de la oferta de hidrocarburos."/>
    <x v="20"/>
    <s v="Documento de planeación preliminar"/>
    <n v="43233600"/>
    <x v="17"/>
    <s v="Software- Licencias"/>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Contratación directa "/>
    <s v="Propios - 20 - Ingresos corrientes"/>
    <n v="7539052"/>
    <n v="7539052"/>
    <s v="No"/>
    <s v="N/A"/>
    <s v="Ingrid Fernanda Vasquez"/>
    <s v="Subdirector de hidrocarburos"/>
    <n v="6012220601"/>
    <s v="ingrid.vasquez@upme.gov.co"/>
    <m/>
    <m/>
    <m/>
    <m/>
    <m/>
    <m/>
    <m/>
    <m/>
    <m/>
    <m/>
    <m/>
    <m/>
    <m/>
    <m/>
    <m/>
    <m/>
    <m/>
    <m/>
    <n v="7539052"/>
    <m/>
    <m/>
    <n v="7539052"/>
    <m/>
    <m/>
    <m/>
    <m/>
    <n v="7539052"/>
    <n v="7539052"/>
    <n v="0"/>
    <n v="0"/>
    <n v="0"/>
  </r>
  <r>
    <x v="0"/>
    <x v="7"/>
    <s v="Hidrocarburos"/>
    <s v="Si"/>
    <n v="47"/>
    <s v="170-40"/>
    <s v="1 - Fortalecer la planificación de la oferta de hidrocarburos."/>
    <x v="20"/>
    <s v="Documento de planeación preliminar"/>
    <n v="43233600"/>
    <x v="17"/>
    <s v="Software- Licencias"/>
    <s v="170-40 Contratar el suministro de una solución tecnológica integral en la modalidad de software como servicio de gestión de proyectos para coordinar procesos la planificación, ejecución, control y seguimiento en línea de los procesos y actividades que des"/>
    <s v="Octubre"/>
    <s v="Octubre"/>
    <s v="Noviembre"/>
    <n v="12"/>
    <s v="Meses"/>
    <s v="Contratación directa "/>
    <s v="Propios - 20 - Ingresos corrientes"/>
    <n v="23079343"/>
    <n v="23079343"/>
    <s v="No"/>
    <s v="N/A"/>
    <s v="Ingrid Fernanda Vasquez"/>
    <s v="Subdirector de hidrocarburos"/>
    <n v="6012220601"/>
    <s v="ingrid.vasquez@upme.gov.co"/>
    <m/>
    <m/>
    <m/>
    <m/>
    <m/>
    <m/>
    <m/>
    <m/>
    <m/>
    <m/>
    <m/>
    <m/>
    <m/>
    <m/>
    <m/>
    <m/>
    <m/>
    <m/>
    <m/>
    <m/>
    <n v="23079343"/>
    <m/>
    <m/>
    <n v="23079343"/>
    <m/>
    <m/>
    <n v="23079343"/>
    <n v="23079343"/>
    <n v="0"/>
    <n v="0"/>
    <n v="0"/>
  </r>
  <r>
    <x v="0"/>
    <x v="8"/>
    <s v="Demanda"/>
    <s v="Si"/>
    <n v="40"/>
    <s v="160-1"/>
    <s v="1 - Mejorar la representatividad en la información de la participación de los sectores económicos en el consumo de energía."/>
    <x v="22"/>
    <s v="Diagnóstico"/>
    <n v="80111620"/>
    <x v="19"/>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m/>
    <m/>
    <n v="126780812"/>
    <n v="126780812"/>
    <n v="0"/>
    <n v="0"/>
    <n v="0"/>
  </r>
  <r>
    <x v="0"/>
    <x v="8"/>
    <s v="Demanda"/>
    <s v="Si"/>
    <n v="46"/>
    <s v="160-2"/>
    <s v="1 - Mejorar la representatividad en la información de la participación de los sectores económicos en el consumo de energía."/>
    <x v="22"/>
    <s v="Documento de planeación preliminar"/>
    <n v="80111620"/>
    <x v="19"/>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n v="529480"/>
    <m/>
    <m/>
    <m/>
    <m/>
    <m/>
    <m/>
    <n v="53742220"/>
    <n v="53742220"/>
    <n v="0"/>
    <n v="0"/>
    <n v="0"/>
  </r>
  <r>
    <x v="0"/>
    <x v="8"/>
    <s v="Demanda"/>
    <s v="Si"/>
    <s v="75 (30/12/2024)"/>
    <s v="160-3"/>
    <s v="1 - Mejorar la representatividad en la información de la participación de los sectores económicos en el consumo de energía."/>
    <x v="22"/>
    <s v="Documento de planeación preliminar"/>
    <n v="80111620"/>
    <x v="19"/>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r>
  <r>
    <x v="0"/>
    <x v="8"/>
    <s v="Demanda"/>
    <s v="Si"/>
    <s v="75 (30/12/2024)"/>
    <s v="160-4"/>
    <s v="1 - Mejorar la representatividad en la información de la participación de los sectores económicos en el consumo de energía."/>
    <x v="22"/>
    <s v="Documento de planeación preliminar"/>
    <n v="80111620"/>
    <x v="19"/>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r>
  <r>
    <x v="0"/>
    <x v="8"/>
    <s v="Demanda"/>
    <s v="Si"/>
    <s v="75 (30/12/2024)"/>
    <s v="160-5"/>
    <s v="1 - Mejorar la representatividad en la información de la participación de los sectores económicos en el consumo de energía."/>
    <x v="22"/>
    <s v="Documento de planeación preliminar"/>
    <n v="80111620"/>
    <x v="19"/>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m/>
    <m/>
    <n v="96068700"/>
    <n v="96068700"/>
    <n v="0"/>
    <n v="0"/>
    <n v="0"/>
  </r>
  <r>
    <x v="0"/>
    <x v="8"/>
    <s v="Demanda"/>
    <s v="Si"/>
    <n v="13"/>
    <s v="160-6"/>
    <s v="1 - Mejorar la representatividad en la información de la participación de los sectores económicos en el consumo de energía."/>
    <x v="22"/>
    <s v="Documento de planeación preliminar"/>
    <n v="80111620"/>
    <x v="19"/>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m/>
    <m/>
    <n v="45795750"/>
    <n v="45795750"/>
    <n v="0"/>
    <n v="0"/>
    <n v="0"/>
  </r>
  <r>
    <x v="0"/>
    <x v="8"/>
    <s v="Demanda"/>
    <s v="Si"/>
    <s v="75 (30/12/2024)"/>
    <s v="160-7"/>
    <s v="2 - Desarrollar la capacidad instalada en la planificación estratégica de la atención de la demanda."/>
    <x v="23"/>
    <s v="Diagnóstico"/>
    <n v="80111620"/>
    <x v="20"/>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5347200"/>
    <n v="155347200"/>
    <s v="No"/>
    <s v="N/A"/>
    <s v="Jessica Arias Gaviria"/>
    <s v="Subdirectora de Demanda"/>
    <n v="6012220601"/>
    <s v="jessica.arias@upme.gov.co"/>
    <n v="155347200"/>
    <m/>
    <m/>
    <m/>
    <n v="-1320781"/>
    <n v="13207810"/>
    <m/>
    <n v="14019012"/>
    <m/>
    <n v="14468390"/>
    <m/>
    <n v="13442756"/>
    <m/>
    <n v="14519534"/>
    <m/>
    <n v="13207810"/>
    <m/>
    <n v="13207810"/>
    <m/>
    <n v="13207810"/>
    <m/>
    <n v="13207810"/>
    <m/>
    <n v="31537677"/>
    <n v="1320781"/>
    <n v="1320781"/>
    <n v="155347200"/>
    <n v="155347200"/>
    <n v="0"/>
    <n v="0"/>
    <n v="0"/>
  </r>
  <r>
    <x v="0"/>
    <x v="8"/>
    <s v="Demanda"/>
    <s v="Si"/>
    <s v="75 (30/12/2024)"/>
    <s v="160-8"/>
    <s v="3 - Fomentar la articulación de la política pública, el marco regulatorio y la visión de gobierno."/>
    <x v="24"/>
    <s v="Documento con los resultados de las validaciones"/>
    <n v="80111620"/>
    <x v="21"/>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22460640"/>
    <m/>
    <m/>
    <n v="114097500"/>
    <n v="114097500"/>
    <n v="0"/>
    <n v="0"/>
    <n v="0"/>
  </r>
  <r>
    <x v="0"/>
    <x v="8"/>
    <s v="Demanda"/>
    <s v="Si"/>
    <n v="13"/>
    <s v="160-9"/>
    <s v="1 - Mejorar la representatividad en la información de la participación de los sectores económicos en el consumo de energía."/>
    <x v="22"/>
    <s v="Diagnóstico"/>
    <n v="80111620"/>
    <x v="19"/>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m/>
    <m/>
    <n v="144029984"/>
    <n v="144029984"/>
    <n v="0"/>
    <n v="0"/>
    <n v="0"/>
  </r>
  <r>
    <x v="0"/>
    <x v="8"/>
    <s v="Demanda"/>
    <s v="Si"/>
    <n v="9"/>
    <s v="160-10"/>
    <s v="2 - Desarrollar la capacidad instalada en la planificación estratégica de la atención de la demanda."/>
    <x v="23"/>
    <s v="Diagnóstico"/>
    <n v="93142104"/>
    <x v="20"/>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160000"/>
    <n v="300160000"/>
    <s v="No"/>
    <s v="N/A"/>
    <s v="Jessica Arias Gaviria"/>
    <s v="Subdirectora de Demanda"/>
    <n v="6012220601"/>
    <s v="jessica.arias@upme.gov.co"/>
    <m/>
    <m/>
    <m/>
    <m/>
    <m/>
    <m/>
    <n v="300000000"/>
    <m/>
    <m/>
    <m/>
    <m/>
    <n v="90000000"/>
    <m/>
    <m/>
    <m/>
    <m/>
    <m/>
    <n v="120000000"/>
    <m/>
    <m/>
    <m/>
    <m/>
    <m/>
    <n v="90000000"/>
    <n v="160000"/>
    <n v="160000"/>
    <n v="300160000"/>
    <n v="300160000"/>
    <n v="0"/>
    <n v="0"/>
    <n v="0"/>
  </r>
  <r>
    <x v="0"/>
    <x v="8"/>
    <s v="Demanda"/>
    <s v="Si"/>
    <n v="13"/>
    <s v="160-11"/>
    <s v="2 - Desarrollar la capacidad instalada en la planificación estratégica de la atención de la demanda."/>
    <x v="23"/>
    <s v="Documento metodológico preliminar"/>
    <n v="93142104"/>
    <x v="20"/>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m/>
    <m/>
    <n v="0"/>
    <n v="0"/>
    <n v="0"/>
    <n v="0"/>
    <n v="0"/>
  </r>
  <r>
    <x v="0"/>
    <x v="8"/>
    <s v="Demanda"/>
    <s v="Si"/>
    <n v="21"/>
    <s v="160-12"/>
    <s v="3 - Fomentar la articulación de la política pública, el marco regulatorio y la visión de gobierno."/>
    <x v="24"/>
    <s v="Documento con la descripción de procesos, métodos y herramientas"/>
    <n v="81101516"/>
    <x v="21"/>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n v="225120000"/>
    <m/>
    <n v="225120000"/>
    <m/>
    <m/>
    <m/>
    <m/>
    <n v="450240000"/>
    <n v="450240000"/>
    <n v="0"/>
    <n v="0"/>
    <n v="0"/>
  </r>
  <r>
    <x v="0"/>
    <x v="8"/>
    <s v="Demanda"/>
    <s v="Si"/>
    <n v="21"/>
    <s v="160-13"/>
    <s v="3 - Fomentar la articulación de la política pública, el marco regulatorio y la visión de gobierno."/>
    <x v="24"/>
    <s v="Documento con la descripción de procesos, métodos y herramientas"/>
    <n v="81101516"/>
    <x v="21"/>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300160000"/>
    <n v="300160000"/>
    <s v="No"/>
    <s v="N/A"/>
    <s v="Jessica Arias Gaviria"/>
    <s v="Subdirectora de Demanda"/>
    <n v="6012220601"/>
    <s v="jessica.arias@upme.gov.co"/>
    <m/>
    <m/>
    <m/>
    <m/>
    <m/>
    <m/>
    <m/>
    <m/>
    <m/>
    <m/>
    <m/>
    <m/>
    <m/>
    <m/>
    <m/>
    <m/>
    <m/>
    <m/>
    <n v="300160000"/>
    <m/>
    <m/>
    <n v="75040000"/>
    <m/>
    <n v="225120000"/>
    <m/>
    <m/>
    <n v="300160000"/>
    <n v="300160000"/>
    <n v="0"/>
    <n v="0"/>
    <n v="0"/>
  </r>
  <r>
    <x v="0"/>
    <x v="8"/>
    <s v="Demanda"/>
    <s v="Si"/>
    <n v="40"/>
    <s v="160-14"/>
    <s v="1 - Mejorar la representatividad en la información de la participación de los sectores económicos en el consumo de energía."/>
    <x v="22"/>
    <s v="Documento de planeación preliminar"/>
    <s v="81101516;83101601"/>
    <x v="19"/>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n v="840000000"/>
    <m/>
    <m/>
    <m/>
    <n v="350820000"/>
    <m/>
    <m/>
    <n v="1190820000"/>
    <n v="1190820000"/>
    <n v="0"/>
    <n v="0"/>
    <n v="0"/>
  </r>
  <r>
    <x v="0"/>
    <x v="8"/>
    <s v="Demanda"/>
    <s v="Si"/>
    <n v="22"/>
    <s v="160-15"/>
    <s v="1 - Mejorar la representatividad en la información de la participación de los sectores económicos en el consumo de energía."/>
    <x v="22"/>
    <s v="Documento de planeación preliminar"/>
    <n v="81101516"/>
    <x v="19"/>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4006384"/>
    <n v="374006384"/>
    <s v="No"/>
    <s v="N/A"/>
    <s v="Jessica Arias Gaviria"/>
    <s v="Subdirectora de Demanda"/>
    <n v="6012220601"/>
    <s v="jessica.arias@upme.gov.co"/>
    <m/>
    <m/>
    <m/>
    <m/>
    <m/>
    <m/>
    <m/>
    <m/>
    <m/>
    <m/>
    <m/>
    <m/>
    <m/>
    <m/>
    <m/>
    <m/>
    <n v="371994000"/>
    <m/>
    <m/>
    <n v="112201915"/>
    <m/>
    <m/>
    <m/>
    <n v="259792085"/>
    <n v="2012384"/>
    <n v="2012384"/>
    <n v="374006384"/>
    <n v="374006384"/>
    <n v="0"/>
    <n v="0"/>
    <n v="0"/>
  </r>
  <r>
    <x v="0"/>
    <x v="8"/>
    <s v="Demanda"/>
    <s v="Si"/>
    <n v="13"/>
    <s v="160-16"/>
    <s v="2 - Desarrollar la capacidad instalada en la planificación estratégica de la atención de la demanda."/>
    <x v="23"/>
    <s v="Documento metodológico preliminar"/>
    <n v="80111620"/>
    <x v="20"/>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m/>
    <m/>
    <n v="98971950"/>
    <n v="98971950"/>
    <n v="0"/>
    <n v="0"/>
    <n v="0"/>
  </r>
  <r>
    <x v="0"/>
    <x v="8"/>
    <s v="Demanda"/>
    <s v="Si"/>
    <n v="2"/>
    <s v="160-17"/>
    <s v="2 - Desarrollar la capacidad instalada en la planificación estratégica de la atención de la demanda."/>
    <x v="23"/>
    <s v="Documento metodológico preliminar"/>
    <n v="80111620"/>
    <x v="20"/>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500000"/>
    <m/>
    <n v="12500000"/>
    <m/>
    <n v="22119500"/>
    <m/>
    <m/>
    <n v="137500000"/>
    <n v="137500000"/>
    <n v="0"/>
    <n v="0"/>
    <n v="0"/>
  </r>
  <r>
    <x v="0"/>
    <x v="8"/>
    <s v="Demanda"/>
    <s v="Si"/>
    <n v="2"/>
    <s v="160-18"/>
    <s v="3 - Fomentar la articulación de la política pública, el marco regulatorio y la visión de gobierno."/>
    <x v="24"/>
    <s v="Documento con los resultados de las validaciones"/>
    <n v="80111620"/>
    <x v="21"/>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n v="411500"/>
    <m/>
    <n v="411500"/>
    <m/>
    <n v="3703500"/>
    <m/>
    <m/>
    <n v="4526500"/>
    <n v="4526500"/>
    <n v="0"/>
    <n v="0"/>
    <n v="0"/>
  </r>
  <r>
    <x v="0"/>
    <x v="8"/>
    <s v="Demanda"/>
    <s v="Si"/>
    <n v="40"/>
    <s v="160-19"/>
    <s v="3 - Fomentar la articulación de la política pública, el marco regulatorio y la visión de gobierno."/>
    <x v="24"/>
    <s v="Documento con los resultados de las validaciones"/>
    <n v="78111502"/>
    <x v="21"/>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317600"/>
    <n v="20317600"/>
    <s v="No"/>
    <s v="N/A"/>
    <s v="Jessica Arias Gaviria"/>
    <s v="Subdirectora de Demanda"/>
    <n v="6012220601"/>
    <s v="jessica.arias@upme.gov.co"/>
    <m/>
    <m/>
    <m/>
    <m/>
    <m/>
    <m/>
    <m/>
    <m/>
    <m/>
    <m/>
    <n v="20000000"/>
    <m/>
    <m/>
    <n v="2590646"/>
    <m/>
    <m/>
    <m/>
    <n v="1047606"/>
    <m/>
    <n v="4431738"/>
    <m/>
    <n v="4431738"/>
    <m/>
    <n v="7498272"/>
    <n v="317600"/>
    <n v="317600"/>
    <n v="20317600"/>
    <n v="20317600"/>
    <n v="0"/>
    <n v="0"/>
    <n v="0"/>
  </r>
  <r>
    <x v="0"/>
    <x v="8"/>
    <s v="Demanda"/>
    <s v="Si"/>
    <s v="75 (30/12/2024)"/>
    <s v="160-20"/>
    <s v="3 - Fomentar la articulación de la política pública, el marco regulatorio y la visión de gobierno."/>
    <x v="24"/>
    <s v="Documento con los resultados de las validaciones"/>
    <s v="N/A"/>
    <x v="21"/>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40000000"/>
    <n v="40000000"/>
    <s v="No"/>
    <s v="N/A"/>
    <s v="Jessica Arias Gaviria"/>
    <s v="Subdirectora de Demanda"/>
    <n v="6012220601"/>
    <s v="jessica.arias@upme.gov.co"/>
    <m/>
    <m/>
    <m/>
    <m/>
    <n v="1255080"/>
    <n v="1255080"/>
    <n v="1581376"/>
    <n v="320796"/>
    <n v="704838"/>
    <n v="1965418"/>
    <n v="1388718"/>
    <n v="1388718"/>
    <m/>
    <m/>
    <m/>
    <m/>
    <m/>
    <m/>
    <n v="1500000"/>
    <n v="1500000"/>
    <n v="1500000"/>
    <n v="1500000"/>
    <n v="32069988"/>
    <n v="32069988"/>
    <m/>
    <m/>
    <n v="40000000"/>
    <n v="40000000"/>
    <n v="0"/>
    <n v="0"/>
    <n v="0"/>
  </r>
  <r>
    <x v="0"/>
    <x v="8"/>
    <s v="Demanda"/>
    <s v="Si"/>
    <n v="40"/>
    <s v="160-21"/>
    <s v="2 - Desarrollar la capacidad instalada en la planificación estratégica de la atención de la demanda."/>
    <x v="23"/>
    <s v="Documento metodológico preliminar"/>
    <n v="80111620"/>
    <x v="20"/>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51101693"/>
    <n v="51101693"/>
    <s v="No"/>
    <s v="N/A"/>
    <s v="Jessica Arias Gaviria"/>
    <s v="Subdirectora de Demanda"/>
    <n v="6012220601"/>
    <s v="jessica.arias@upme.gov.co"/>
    <m/>
    <m/>
    <m/>
    <m/>
    <m/>
    <m/>
    <m/>
    <m/>
    <n v="51800000"/>
    <m/>
    <n v="-2100000"/>
    <n v="700000"/>
    <m/>
    <n v="7000000"/>
    <m/>
    <n v="7000000"/>
    <m/>
    <n v="7000000"/>
    <m/>
    <n v="7000000"/>
    <m/>
    <n v="7000000"/>
    <m/>
    <n v="14000000"/>
    <n v="1401693"/>
    <n v="1401693"/>
    <n v="51101693"/>
    <n v="51101693"/>
    <n v="0"/>
    <n v="0"/>
    <n v="0"/>
  </r>
  <r>
    <x v="0"/>
    <x v="8"/>
    <s v="Demanda"/>
    <s v="Si"/>
    <n v="13"/>
    <s v="160-22"/>
    <s v="2 - Desarrollar la capacidad instalada en la planificación estratégica de la atención de la demanda."/>
    <x v="23"/>
    <s v="Documento metodológico preliminar"/>
    <n v="43233501"/>
    <x v="20"/>
    <s v="Software-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m/>
    <m/>
    <n v="10177130"/>
    <n v="10177130"/>
    <n v="0"/>
    <n v="0"/>
    <n v="0"/>
  </r>
  <r>
    <x v="0"/>
    <x v="8"/>
    <s v="Demanda"/>
    <s v="Si"/>
    <n v="13"/>
    <s v="160-23"/>
    <s v="1 - Mejorar la representatividad en la información de la participación de los sectores económicos en el consumo de energía."/>
    <x v="22"/>
    <s v="Documento de planeación preliminar"/>
    <n v="43233501"/>
    <x v="19"/>
    <s v="Software-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m/>
    <m/>
    <n v="13572510"/>
    <n v="13572510"/>
    <n v="0"/>
    <n v="0"/>
    <n v="0"/>
  </r>
  <r>
    <x v="0"/>
    <x v="8"/>
    <s v="Demanda"/>
    <s v="Si"/>
    <n v="13"/>
    <s v="160-24"/>
    <s v="1 - Mejorar la representatividad en la información de la participación de los sectores económicos en el consumo de energía."/>
    <x v="22"/>
    <s v="Diagnóstico"/>
    <n v="43233501"/>
    <x v="19"/>
    <s v="Software-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m/>
    <m/>
    <n v="5041631"/>
    <n v="5041631"/>
    <n v="0"/>
    <n v="0"/>
    <n v="0"/>
  </r>
  <r>
    <x v="0"/>
    <x v="8"/>
    <s v="Demanda"/>
    <s v="Si"/>
    <n v="40"/>
    <s v="160-25"/>
    <s v="1 - Mejorar la representatividad en la información de la participación de los sectores económicos en el consumo de energía."/>
    <x v="22"/>
    <s v="Diagnóstico"/>
    <n v="80111620"/>
    <x v="19"/>
    <s v="Prestación de servicios profesionales y/o de apoyo a la gestión"/>
    <s v="160- 25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m/>
    <m/>
    <n v="2790773"/>
    <n v="930258"/>
    <m/>
    <n v="930258"/>
    <m/>
    <n v="930257"/>
    <m/>
    <m/>
    <n v="2790773"/>
    <n v="2790773"/>
    <n v="0"/>
    <n v="0"/>
    <n v="0"/>
  </r>
  <r>
    <x v="0"/>
    <x v="8"/>
    <s v="Demanda"/>
    <s v="Si"/>
    <n v="40"/>
    <s v="160-26"/>
    <s v="2 - Desarrollar la capacidad instalada en la planificación estratégica de la atención de la demanda."/>
    <x v="23"/>
    <s v="Documento metodológico preliminar"/>
    <n v="80111620"/>
    <x v="20"/>
    <s v="Prestación de servicios profesionales y/o de apoyo a la gestión"/>
    <s v="160- 26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409227"/>
    <n v="2409227"/>
    <s v="No"/>
    <s v="N/A"/>
    <s v="Wilson Quintero"/>
    <s v="Subdirector de Demanda"/>
    <n v="6012220601"/>
    <s v="wilson.quintero@upme.gov.co"/>
    <m/>
    <m/>
    <m/>
    <m/>
    <m/>
    <m/>
    <m/>
    <m/>
    <m/>
    <m/>
    <m/>
    <m/>
    <m/>
    <m/>
    <m/>
    <m/>
    <m/>
    <m/>
    <n v="2409227"/>
    <n v="803076"/>
    <m/>
    <n v="803076"/>
    <m/>
    <n v="803075"/>
    <m/>
    <m/>
    <n v="2409227"/>
    <n v="2409227"/>
    <n v="0"/>
    <n v="0"/>
    <n v="0"/>
  </r>
  <r>
    <x v="0"/>
    <x v="8"/>
    <s v="Demanda"/>
    <s v="Si"/>
    <n v="40"/>
    <s v="160-27"/>
    <s v="1 - Mejorar la representatividad en la información de la participación de los sectores económicos en el consumo de energía."/>
    <x v="22"/>
    <s v="Documento de planeación preliminar"/>
    <n v="80111620"/>
    <x v="19"/>
    <s v="Prestación de servicios profesionales y/o de apoyo a la gestión"/>
    <s v="160 -27 Prestación de servicios profesionales para adelantar labores de analítica de datos orientadas a la consolidación de modelos y algoritmos mineroenergéticos, así como para diseñar e implementar arquitecturas de datos robustas, escalables y seguras q"/>
    <s v="Agosto"/>
    <s v="Agosto"/>
    <s v="Septiembre"/>
    <n v="3.5"/>
    <s v="Meses"/>
    <s v="Contratación directa - Prestación de servicios profesionales"/>
    <s v="Propios - 20 - Ingresos corrientes"/>
    <n v="7400000"/>
    <n v="7400000"/>
    <s v="No"/>
    <s v="N/A"/>
    <s v="Wilson Quintero"/>
    <s v="Subdirector de Demanda"/>
    <n v="6012220601"/>
    <s v="wilson.quintero@upme.gov.co"/>
    <m/>
    <m/>
    <m/>
    <m/>
    <m/>
    <m/>
    <m/>
    <m/>
    <m/>
    <m/>
    <m/>
    <m/>
    <m/>
    <m/>
    <m/>
    <m/>
    <m/>
    <m/>
    <n v="7400000"/>
    <n v="2466667"/>
    <m/>
    <n v="2466667"/>
    <m/>
    <n v="2466666"/>
    <m/>
    <m/>
    <n v="7400000"/>
    <n v="7400000"/>
    <n v="0"/>
    <n v="0"/>
    <n v="0"/>
  </r>
  <r>
    <x v="0"/>
    <x v="8"/>
    <s v="Demanda"/>
    <s v="Si"/>
    <n v="40"/>
    <s v="160-28"/>
    <s v="1 - Mejorar la representatividad en la información de la participación de los sectores económicos en el consumo de energía."/>
    <x v="22"/>
    <s v="Documento de planeación preliminar"/>
    <n v="80111620"/>
    <x v="19"/>
    <s v="Prestación de servicios profesionales y/o de apoyo a la gestión"/>
    <s v="160- 28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1780000"/>
    <n v="1780000"/>
    <s v="No"/>
    <s v="N/A"/>
    <s v="Wilson Quintero"/>
    <s v="Subdirector de Demanda"/>
    <n v="6012220601"/>
    <s v="wilson.quintero@upme.gov.co"/>
    <m/>
    <m/>
    <m/>
    <m/>
    <m/>
    <m/>
    <m/>
    <m/>
    <m/>
    <m/>
    <m/>
    <m/>
    <m/>
    <m/>
    <m/>
    <m/>
    <m/>
    <m/>
    <n v="1780000"/>
    <n v="593333"/>
    <m/>
    <n v="593333"/>
    <m/>
    <n v="593334"/>
    <m/>
    <m/>
    <n v="1780000"/>
    <n v="1780000"/>
    <n v="0"/>
    <n v="0"/>
    <n v="0"/>
  </r>
  <r>
    <x v="0"/>
    <x v="8"/>
    <s v="Demanda"/>
    <s v="Si"/>
    <n v="40"/>
    <s v="160-29"/>
    <s v="3 - Fomentar la articulación de la política pública, el marco regulatorio y la visión de gobierno."/>
    <x v="24"/>
    <s v="Documento con los resultados de las validaciones"/>
    <n v="80111620"/>
    <x v="21"/>
    <s v="Prestación de servicios profesionales y/o de apoyo a la gestión"/>
    <s v="160- 29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5620000"/>
    <n v="5620000"/>
    <s v="No"/>
    <s v="N/A"/>
    <s v="Wilson Quintero"/>
    <s v="Subdirector de Demanda"/>
    <n v="6012220601"/>
    <s v="wilson.quintero@upme.gov.co"/>
    <m/>
    <m/>
    <m/>
    <m/>
    <m/>
    <m/>
    <m/>
    <m/>
    <m/>
    <m/>
    <m/>
    <m/>
    <m/>
    <m/>
    <m/>
    <m/>
    <m/>
    <m/>
    <n v="5620000"/>
    <n v="1873333"/>
    <m/>
    <n v="1873333"/>
    <m/>
    <n v="1873334"/>
    <m/>
    <m/>
    <n v="5620000"/>
    <n v="5620000"/>
    <n v="0"/>
    <n v="0"/>
    <n v="0"/>
  </r>
  <r>
    <x v="0"/>
    <x v="8"/>
    <s v="Demanda"/>
    <s v="Si"/>
    <n v="46"/>
    <s v="160-30"/>
    <s v="3 - Fomentar la articulación de la política pública, el marco regulatorio y la visión de gobierno."/>
    <x v="24"/>
    <s v="Documento con los resultados de las validaciones"/>
    <n v="80111620"/>
    <x v="21"/>
    <s v="Prestación de servicios profesionales y/o de apoyo a la gestión"/>
    <s v="160 - 30 Prestación de servicios profesionales para el diseño y desarrollo de la estrategia de divulgación de productos de analítica y del portal SIMEC, así como la documentación, el diseño y el soporte técnico de los portales interactivos en desarrollo p"/>
    <s v="Agosto"/>
    <s v="Agosto"/>
    <s v="Septiembre"/>
    <n v="3.5"/>
    <s v="Meses"/>
    <s v="Contratación directa - Prestación de servicios profesionales"/>
    <s v="Propios - 20 - Ingresos corrientes"/>
    <n v="6933000"/>
    <n v="6933000"/>
    <s v="No"/>
    <s v="N/A"/>
    <s v="Wilson Quintero"/>
    <s v="Subdirector de Demanda"/>
    <n v="6012220601"/>
    <s v="wilson.quintero@upme.gov.co"/>
    <m/>
    <m/>
    <m/>
    <m/>
    <m/>
    <m/>
    <m/>
    <m/>
    <m/>
    <m/>
    <m/>
    <m/>
    <m/>
    <m/>
    <m/>
    <m/>
    <m/>
    <m/>
    <n v="6933000"/>
    <n v="933000"/>
    <m/>
    <n v="2000000"/>
    <m/>
    <n v="4000000"/>
    <m/>
    <m/>
    <n v="6933000"/>
    <n v="6933000"/>
    <n v="0"/>
    <n v="0"/>
    <n v="0"/>
  </r>
  <r>
    <x v="0"/>
    <x v="8"/>
    <s v="Demanda"/>
    <s v="Si"/>
    <n v="46"/>
    <s v="160-31"/>
    <s v="3 - Fomentar la articulación de la política pública, el marco regulatorio y la visión de gobierno."/>
    <x v="24"/>
    <s v="Documento con los resultados de las validaciones"/>
    <n v="80111620"/>
    <x v="21"/>
    <s v="Prestación de servicios profesionales y/o de apoyo a la gestión"/>
    <s v="160 - 31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400"/>
    <m/>
    <m/>
    <m/>
    <m/>
    <n v="7129400"/>
    <m/>
    <m/>
    <n v="7129400"/>
    <n v="7129400"/>
    <n v="0"/>
    <n v="0"/>
    <n v="0"/>
  </r>
  <r>
    <x v="0"/>
    <x v="8"/>
    <s v="Demanda"/>
    <s v="Si"/>
    <n v="46"/>
    <s v="160-32"/>
    <s v="1 - Mejorar la representatividad en la información de la participación de los sectores económicos en el consumo de energía."/>
    <x v="22"/>
    <s v="Documento de planeación preliminar"/>
    <n v="80111620"/>
    <x v="19"/>
    <s v="Prestación de servicios profesionales y/o de apoyo a la gestión"/>
    <s v="160 - 32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m/>
    <m/>
    <n v="1239320"/>
    <n v="1239320"/>
    <n v="0"/>
    <n v="0"/>
    <n v="0"/>
  </r>
  <r>
    <x v="0"/>
    <x v="8"/>
    <s v="Demanda"/>
    <s v="Si"/>
    <n v="46"/>
    <s v="160-33"/>
    <s v="1 - Mejorar la representatividad en la información de la participación de los sectores económicos en el consumo de energía."/>
    <x v="22"/>
    <s v="Documento de planeación preliminar"/>
    <n v="80111620"/>
    <x v="19"/>
    <s v="Software- Licencias"/>
    <s v="160 - 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m/>
    <m/>
    <n v="30000000"/>
    <n v="30000000"/>
    <n v="0"/>
    <n v="0"/>
    <n v="0"/>
  </r>
  <r>
    <x v="0"/>
    <x v="9"/>
    <s v="Territorial"/>
    <s v="Si"/>
    <s v="75 (30/12/2024)"/>
    <s v="100-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m/>
    <m/>
    <n v="50000000"/>
    <n v="50000000"/>
    <n v="0"/>
    <n v="0"/>
    <n v="0"/>
  </r>
  <r>
    <x v="0"/>
    <x v="9"/>
    <s v="Territorial"/>
    <s v="Si"/>
    <n v="13"/>
    <s v="100-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m/>
    <m/>
    <n v="50400000"/>
    <n v="50400000"/>
    <n v="0"/>
    <n v="0"/>
    <n v="0"/>
  </r>
  <r>
    <x v="0"/>
    <x v="9"/>
    <s v="Territorial"/>
    <s v="Si"/>
    <s v="01"/>
    <s v="100-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m/>
    <m/>
    <n v="18000000"/>
    <n v="18000000"/>
    <n v="0"/>
    <n v="0"/>
    <n v="0"/>
  </r>
  <r>
    <x v="0"/>
    <x v="9"/>
    <s v="Territorial"/>
    <s v="Si"/>
    <n v="25"/>
    <s v="100-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4551995"/>
    <n v="4551995"/>
    <s v="No"/>
    <s v="N/A"/>
    <s v="Ingrid Viviana Garzón"/>
    <s v="Asesora Dirección general"/>
    <n v="6012220601"/>
    <s v="ingrid.garzon@upme.gov.co"/>
    <m/>
    <m/>
    <m/>
    <m/>
    <m/>
    <m/>
    <m/>
    <m/>
    <m/>
    <m/>
    <m/>
    <m/>
    <m/>
    <m/>
    <m/>
    <m/>
    <m/>
    <m/>
    <m/>
    <m/>
    <m/>
    <m/>
    <m/>
    <n v="4551995"/>
    <n v="4551995"/>
    <m/>
    <n v="4551995"/>
    <n v="4551995"/>
    <n v="0"/>
    <n v="0"/>
    <n v="0"/>
  </r>
  <r>
    <x v="0"/>
    <x v="9"/>
    <s v="Territorial"/>
    <s v="Si"/>
    <n v="11"/>
    <s v="100-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1400000"/>
    <n v="81400000"/>
    <s v="No"/>
    <s v="N/A"/>
    <s v="Ingrid Viviana Garzón"/>
    <s v="Asesora Dirección general"/>
    <n v="6012220601"/>
    <s v="ingrid.garzon@upme.gov.co"/>
    <n v="81400000"/>
    <m/>
    <m/>
    <n v="1726667"/>
    <m/>
    <n v="7400000"/>
    <m/>
    <n v="7400000"/>
    <m/>
    <n v="7400000"/>
    <m/>
    <n v="7400000"/>
    <m/>
    <n v="7400000"/>
    <m/>
    <n v="7400000"/>
    <m/>
    <n v="7400000"/>
    <m/>
    <n v="7400000"/>
    <m/>
    <n v="7400000"/>
    <m/>
    <n v="13073333"/>
    <m/>
    <m/>
    <n v="81400000"/>
    <n v="81400000"/>
    <n v="0"/>
    <n v="0"/>
    <n v="0"/>
  </r>
  <r>
    <x v="0"/>
    <x v="9"/>
    <s v="Territorial"/>
    <s v="Si"/>
    <n v="46"/>
    <s v="100-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m/>
    <m/>
    <n v="9493510"/>
    <m/>
    <n v="21709086"/>
    <m/>
    <m/>
    <n v="31202596"/>
    <n v="31202596"/>
    <n v="0"/>
    <n v="0"/>
    <n v="0"/>
  </r>
  <r>
    <x v="0"/>
    <x v="9"/>
    <s v="Territorial"/>
    <s v="Si"/>
    <s v="75 (30/12/2024)"/>
    <s v="100-7"/>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5075000"/>
    <n v="75075000"/>
    <s v="No"/>
    <s v="N/A"/>
    <s v="Ingrid Viviana Garzón"/>
    <s v="Asesora Dirección general"/>
    <n v="6012220601"/>
    <s v="ingrid.garzon@upme.gov.co"/>
    <m/>
    <m/>
    <m/>
    <m/>
    <n v="75075000"/>
    <m/>
    <m/>
    <n v="3412500"/>
    <n v="-787500"/>
    <n v="7875000"/>
    <m/>
    <n v="7875000"/>
    <m/>
    <n v="7875000"/>
    <m/>
    <n v="7875000"/>
    <m/>
    <n v="7875000"/>
    <m/>
    <n v="7875000"/>
    <m/>
    <n v="7875000"/>
    <m/>
    <n v="15750000"/>
    <n v="787500"/>
    <n v="787500"/>
    <n v="75075000"/>
    <n v="75075000"/>
    <n v="0"/>
    <n v="0"/>
    <n v="0"/>
  </r>
  <r>
    <x v="0"/>
    <x v="9"/>
    <s v="Territorial"/>
    <s v="Si"/>
    <n v="2"/>
    <s v="100-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900000"/>
    <n v="79900000"/>
    <s v="No"/>
    <s v="N/A"/>
    <s v="Ingrid Viviana Garzón"/>
    <s v="Asesora Dirección general"/>
    <n v="6012220601"/>
    <s v="ingrid.garzon@upme.gov.co"/>
    <m/>
    <m/>
    <n v="79900000"/>
    <m/>
    <m/>
    <n v="4370000"/>
    <n v="-460000"/>
    <n v="7435675"/>
    <m/>
    <n v="6900000"/>
    <m/>
    <n v="7845675"/>
    <m/>
    <n v="6900000"/>
    <m/>
    <n v="6900000"/>
    <m/>
    <n v="6900000"/>
    <m/>
    <n v="7900000"/>
    <m/>
    <n v="7900000"/>
    <m/>
    <n v="15848650"/>
    <n v="460000"/>
    <n v="1000000"/>
    <n v="79900000"/>
    <n v="79900000"/>
    <n v="0"/>
    <n v="0"/>
    <n v="0"/>
  </r>
  <r>
    <x v="0"/>
    <x v="9"/>
    <s v="Territorial"/>
    <s v="Si"/>
    <n v="42"/>
    <s v="100-9"/>
    <s v="1 - Incluir el uso de las particularidades propias de cada territorio en la planeación minero energética."/>
    <x v="0"/>
    <s v="Identificar e incorporar variables sociales, ambientales y territoriales en los documentos de planeación minero energética"/>
    <n v="78111502"/>
    <x v="2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62547940"/>
    <n v="162547940"/>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m/>
    <m/>
    <n v="3725645.5"/>
    <m/>
    <n v="3725645.5"/>
    <n v="19129026"/>
    <n v="19129026"/>
    <n v="162547940"/>
    <n v="162547940"/>
    <n v="0"/>
    <n v="0"/>
    <n v="0"/>
  </r>
  <r>
    <x v="0"/>
    <x v="9"/>
    <s v="Territorial"/>
    <s v="Si"/>
    <n v="11"/>
    <s v="100-1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66000000"/>
    <n v="66000000"/>
    <s v="No"/>
    <s v="N/A"/>
    <s v="Ingrid Viviana Garzón"/>
    <s v="Asesora Dirección general"/>
    <n v="6012220601"/>
    <s v="ingrid.garzon@upme.gov.co"/>
    <m/>
    <m/>
    <n v="66000000"/>
    <m/>
    <m/>
    <n v="1400000"/>
    <m/>
    <n v="7000000"/>
    <m/>
    <n v="7826125"/>
    <m/>
    <n v="7826125"/>
    <m/>
    <n v="7495675"/>
    <m/>
    <n v="7000000"/>
    <m/>
    <n v="7000000"/>
    <m/>
    <n v="7000000"/>
    <m/>
    <n v="7000000"/>
    <m/>
    <n v="6452075"/>
    <m/>
    <m/>
    <n v="66000000"/>
    <n v="66000000"/>
    <n v="0"/>
    <n v="0"/>
    <n v="0"/>
  </r>
  <r>
    <x v="0"/>
    <x v="9"/>
    <s v="Territorial"/>
    <s v="Si"/>
    <n v="38"/>
    <s v="100-11"/>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r>
  <r>
    <x v="0"/>
    <x v="9"/>
    <s v="Territorial"/>
    <s v="Si"/>
    <n v="46"/>
    <s v="100-1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4276480"/>
    <n v="34276480"/>
    <s v="No"/>
    <s v="N/A"/>
    <s v="Ingrid Viviana Garzón"/>
    <s v="Asesora Dirección general"/>
    <n v="6012220601"/>
    <s v="ingrid.garzon@upme.gov.co"/>
    <m/>
    <m/>
    <m/>
    <m/>
    <m/>
    <m/>
    <n v="34276480"/>
    <m/>
    <m/>
    <n v="3366440"/>
    <m/>
    <n v="4590600"/>
    <m/>
    <n v="4590600"/>
    <m/>
    <n v="4590600"/>
    <m/>
    <n v="4590600"/>
    <m/>
    <n v="4590600"/>
    <m/>
    <n v="4590600"/>
    <m/>
    <n v="3366440"/>
    <m/>
    <m/>
    <n v="34276480"/>
    <n v="34276480"/>
    <n v="0"/>
    <n v="0"/>
    <n v="0"/>
  </r>
  <r>
    <x v="0"/>
    <x v="9"/>
    <s v="Territorial"/>
    <s v="Si"/>
    <n v="11"/>
    <s v="100-1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n v="4666667"/>
    <m/>
    <m/>
    <m/>
    <m/>
    <n v="56000000"/>
    <n v="56000000"/>
    <n v="0"/>
    <n v="0"/>
    <n v="0"/>
  </r>
  <r>
    <x v="0"/>
    <x v="9"/>
    <s v="Territorial"/>
    <s v="Si"/>
    <n v="46"/>
    <s v="100-1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42000000"/>
    <n v="42000000"/>
    <s v="No"/>
    <s v="N/A"/>
    <s v="Ingrid Viviana Garzón"/>
    <s v="Asesora Dirección general"/>
    <n v="6012220601"/>
    <s v="ingrid.garzon@upme.gov.co"/>
    <m/>
    <m/>
    <m/>
    <m/>
    <m/>
    <m/>
    <n v="42000000"/>
    <m/>
    <m/>
    <m/>
    <m/>
    <n v="13766666"/>
    <m/>
    <m/>
    <m/>
    <n v="7000000"/>
    <n v="-6066667"/>
    <n v="14000000"/>
    <m/>
    <n v="1166667"/>
    <m/>
    <m/>
    <m/>
    <m/>
    <n v="6066667"/>
    <n v="6066667"/>
    <n v="42000000"/>
    <n v="42000000"/>
    <n v="0"/>
    <n v="0"/>
    <n v="0"/>
  </r>
  <r>
    <x v="0"/>
    <x v="9"/>
    <s v="Territorial"/>
    <s v="Si"/>
    <s v="75 (30/12/2024)"/>
    <s v="100-1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m/>
    <m/>
    <n v="66000000"/>
    <n v="66000000"/>
    <n v="0"/>
    <n v="0"/>
    <n v="0"/>
  </r>
  <r>
    <x v="0"/>
    <x v="9"/>
    <s v="Territorial"/>
    <s v="Si"/>
    <n v="46"/>
    <s v="100-1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2500000"/>
    <n v="22500000"/>
    <s v="No"/>
    <s v="N/A"/>
    <s v="Ingrid Viviana Garzón"/>
    <s v="Asesora Dirección general"/>
    <n v="6012220601"/>
    <s v="ingrid.garzon@upme.gov.co"/>
    <m/>
    <m/>
    <m/>
    <m/>
    <m/>
    <m/>
    <m/>
    <m/>
    <m/>
    <m/>
    <m/>
    <m/>
    <m/>
    <m/>
    <m/>
    <m/>
    <m/>
    <m/>
    <n v="22500000"/>
    <m/>
    <m/>
    <n v="7500000"/>
    <m/>
    <n v="15000000"/>
    <m/>
    <m/>
    <n v="22500000"/>
    <n v="22500000"/>
    <n v="0"/>
    <n v="0"/>
    <n v="0"/>
  </r>
  <r>
    <x v="0"/>
    <x v="9"/>
    <s v="Territorial"/>
    <s v="Si"/>
    <n v="13"/>
    <s v="100-17"/>
    <s v="1 - Incluir el uso de las particularidades propias de cada territorio en la planeación minero energética."/>
    <x v="0"/>
    <s v="Identificar e incorporar variables sociales, ambientales y territoriales en los documentos de planeación minero energética"/>
    <n v="80101602"/>
    <x v="2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42000000"/>
    <m/>
    <n v="6000000"/>
    <m/>
    <m/>
    <n v="60000000"/>
    <n v="60000000"/>
    <n v="0"/>
    <n v="0"/>
    <n v="0"/>
  </r>
  <r>
    <x v="0"/>
    <x v="9"/>
    <s v="Territorial"/>
    <s v="Si"/>
    <n v="13"/>
    <s v="100-1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85340001"/>
    <n v="85340001"/>
    <s v="No"/>
    <s v="N/A"/>
    <s v="Ingrid Viviana Garzón"/>
    <s v="Asesora Dirección general"/>
    <n v="6012220601"/>
    <s v="ingrid.garzon@upme.gov.co"/>
    <m/>
    <m/>
    <m/>
    <m/>
    <m/>
    <m/>
    <n v="85340001"/>
    <m/>
    <m/>
    <n v="6897700"/>
    <n v="-2099300"/>
    <n v="8997000"/>
    <m/>
    <n v="8997000"/>
    <m/>
    <n v="8997000"/>
    <m/>
    <n v="8997000"/>
    <m/>
    <n v="8997000"/>
    <m/>
    <n v="8997000"/>
    <m/>
    <n v="17994000"/>
    <n v="2099300"/>
    <n v="6466301"/>
    <n v="85340001"/>
    <n v="85340001"/>
    <n v="0"/>
    <n v="0"/>
    <n v="0"/>
  </r>
  <r>
    <x v="0"/>
    <x v="9"/>
    <s v="Territorial"/>
    <s v="Si"/>
    <s v="75 (30/12/2024)"/>
    <s v="100-19"/>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m/>
    <m/>
    <n v="3698783"/>
    <m/>
    <m/>
    <n v="12198783"/>
    <n v="12198783"/>
    <n v="0"/>
    <n v="0"/>
    <n v="0"/>
  </r>
  <r>
    <x v="0"/>
    <x v="9"/>
    <s v="Territorial"/>
    <s v="Si"/>
    <s v="75 (30/12/2024)"/>
    <s v="100-2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m/>
    <m/>
    <n v="12198783"/>
    <n v="12198783"/>
    <n v="0"/>
    <n v="0"/>
    <n v="0"/>
  </r>
  <r>
    <x v="0"/>
    <x v="9"/>
    <s v="Territorial"/>
    <s v="Si"/>
    <n v="42"/>
    <s v="100-2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m/>
    <m/>
    <n v="68000000"/>
    <n v="68000000"/>
    <n v="0"/>
    <n v="0"/>
    <n v="0"/>
  </r>
  <r>
    <x v="0"/>
    <x v="9"/>
    <s v="Territorial"/>
    <s v="Si"/>
    <n v="31"/>
    <s v="100-2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m/>
    <m/>
    <n v="9600000"/>
    <n v="9600000"/>
    <n v="0"/>
    <n v="0"/>
    <n v="0"/>
  </r>
  <r>
    <x v="0"/>
    <x v="9"/>
    <s v="Territorial"/>
    <s v="Si"/>
    <s v="75 (30/12/2024)"/>
    <s v="100-2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6513333"/>
    <n v="66513333"/>
    <s v="No"/>
    <s v="N/A"/>
    <s v="Ingrid Viviana Garzón"/>
    <s v="Asesora Dirección general"/>
    <n v="6012220601"/>
    <s v="ingrid.garzon@upme.gov.co"/>
    <m/>
    <m/>
    <m/>
    <m/>
    <n v="66513333"/>
    <m/>
    <m/>
    <n v="4830000"/>
    <m/>
    <n v="6900000"/>
    <m/>
    <n v="7520675"/>
    <m/>
    <n v="6900000"/>
    <m/>
    <n v="6900000"/>
    <m/>
    <n v="6900000"/>
    <m/>
    <n v="7300000"/>
    <m/>
    <n v="6900000"/>
    <m/>
    <n v="12362658"/>
    <m/>
    <m/>
    <n v="66513333"/>
    <n v="66513333"/>
    <n v="0"/>
    <n v="0"/>
    <n v="0"/>
  </r>
  <r>
    <x v="0"/>
    <x v="9"/>
    <s v="Territorial"/>
    <s v="Si"/>
    <n v="13"/>
    <s v="100-2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37579900"/>
    <n v="37579900"/>
    <s v="No"/>
    <s v="N/A"/>
    <s v="Ingrid Viviana Garzón"/>
    <s v="Asesora Dirección general"/>
    <n v="6012220601"/>
    <s v="ingrid.garzon@upme.gov.co"/>
    <m/>
    <m/>
    <m/>
    <m/>
    <m/>
    <m/>
    <n v="37579900"/>
    <m/>
    <m/>
    <n v="3333333"/>
    <m/>
    <n v="5000000"/>
    <m/>
    <n v="5000000"/>
    <m/>
    <n v="5000000"/>
    <m/>
    <n v="5000000"/>
    <m/>
    <n v="5000000"/>
    <m/>
    <n v="5000000"/>
    <m/>
    <n v="4246567"/>
    <m/>
    <m/>
    <n v="37579900"/>
    <n v="37579900"/>
    <n v="0"/>
    <n v="0"/>
    <n v="0"/>
  </r>
  <r>
    <x v="0"/>
    <x v="9"/>
    <s v="Territorial"/>
    <s v="Si"/>
    <n v="46"/>
    <s v="100-2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1841050"/>
    <n v="21841050"/>
    <s v="No"/>
    <s v="N/A"/>
    <s v="Ingrid Viviana Garzón"/>
    <s v="Asesora Dirección general"/>
    <n v="6012220601"/>
    <s v="ingrid.garzon@upme.gov.co"/>
    <m/>
    <m/>
    <m/>
    <m/>
    <m/>
    <m/>
    <m/>
    <m/>
    <m/>
    <m/>
    <m/>
    <m/>
    <m/>
    <m/>
    <m/>
    <m/>
    <n v="21841050"/>
    <m/>
    <m/>
    <n v="4227300"/>
    <m/>
    <n v="4227300"/>
    <m/>
    <n v="8454600"/>
    <m/>
    <n v="4931850"/>
    <n v="21841050"/>
    <n v="21841050"/>
    <n v="0"/>
    <n v="0"/>
    <n v="0"/>
  </r>
  <r>
    <x v="0"/>
    <x v="9"/>
    <s v="Territorial"/>
    <s v="Si"/>
    <n v="8"/>
    <s v="100-2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m/>
    <m/>
    <n v="25600000"/>
    <n v="25600000"/>
    <n v="0"/>
    <n v="0"/>
    <n v="0"/>
  </r>
  <r>
    <x v="0"/>
    <x v="9"/>
    <s v="Territorial"/>
    <s v="Si"/>
    <n v="2"/>
    <s v="100-27"/>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85600000"/>
    <n v="85600000"/>
    <s v="No"/>
    <s v="N/A"/>
    <s v="Ingrid Viviana Garzón"/>
    <s v="Asesora Dirección general"/>
    <n v="6012220601"/>
    <s v="ingrid.garzon@upme.gov.co"/>
    <m/>
    <m/>
    <n v="85600000"/>
    <m/>
    <m/>
    <n v="4419600"/>
    <m/>
    <n v="7901675"/>
    <m/>
    <n v="7366000"/>
    <m/>
    <n v="7986675"/>
    <m/>
    <n v="7366000"/>
    <m/>
    <n v="7366000"/>
    <m/>
    <n v="7366000"/>
    <m/>
    <n v="8213975"/>
    <m/>
    <n v="8213975"/>
    <m/>
    <n v="16427950"/>
    <m/>
    <n v="2972150"/>
    <n v="85600000"/>
    <n v="85600000"/>
    <n v="0"/>
    <n v="0"/>
    <n v="0"/>
  </r>
  <r>
    <x v="0"/>
    <x v="9"/>
    <s v="Territorial"/>
    <s v="Si"/>
    <n v="46"/>
    <s v="100-2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tre niveles de gobier"/>
    <s v="Julio"/>
    <s v="Julio"/>
    <s v="Agosto"/>
    <n v="5.5"/>
    <s v="Meses"/>
    <s v="Contratación directa - Prestación de servicios profesionales"/>
    <s v="Propios - 20 - Ingresos corrientes"/>
    <n v="35966667"/>
    <n v="35966667"/>
    <s v="No"/>
    <s v="N/A"/>
    <s v="Ingrid Viviana Garzón"/>
    <s v="Asesora Dirección general"/>
    <n v="6012220601"/>
    <s v="ingrid.garzon@upme.gov.co"/>
    <m/>
    <m/>
    <m/>
    <m/>
    <m/>
    <m/>
    <m/>
    <m/>
    <m/>
    <m/>
    <m/>
    <m/>
    <m/>
    <m/>
    <m/>
    <m/>
    <m/>
    <m/>
    <n v="17333333"/>
    <m/>
    <m/>
    <n v="4333333"/>
    <m/>
    <n v="13000000"/>
    <n v="18633334"/>
    <n v="18633334"/>
    <n v="35966667"/>
    <n v="35966667"/>
    <n v="0"/>
    <n v="0"/>
    <n v="0"/>
  </r>
  <r>
    <x v="0"/>
    <x v="9"/>
    <s v="Territorial"/>
    <s v="Si"/>
    <s v="01"/>
    <s v="100-29"/>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000000"/>
    <m/>
    <n v="8000000"/>
    <m/>
    <n v="16000000"/>
    <m/>
    <n v="400000"/>
    <n v="94000000"/>
    <n v="94000000"/>
    <n v="0"/>
    <n v="0"/>
    <n v="0"/>
  </r>
  <r>
    <x v="0"/>
    <x v="9"/>
    <s v="Territorial"/>
    <s v="Si"/>
    <s v="75 (30/12/2024)"/>
    <s v="100-30"/>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m/>
    <m/>
    <n v="82800000"/>
    <n v="82800000"/>
    <n v="0"/>
    <n v="0"/>
    <n v="0"/>
  </r>
  <r>
    <x v="0"/>
    <x v="9"/>
    <s v="Territorial"/>
    <s v="Si"/>
    <n v="11"/>
    <s v="100-31"/>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613950"/>
    <n v="48613950"/>
    <s v="No"/>
    <s v="N/A"/>
    <s v="Ingrid Viviana Garzón"/>
    <s v="Asesora Dirección general"/>
    <n v="6012220601"/>
    <s v="ingrid.garzon@upme.gov.co"/>
    <n v="48613950"/>
    <m/>
    <m/>
    <n v="1972740"/>
    <n v="-140910"/>
    <n v="4227300"/>
    <m/>
    <n v="4227300"/>
    <m/>
    <n v="4227300"/>
    <m/>
    <n v="4227300"/>
    <m/>
    <n v="4227300"/>
    <m/>
    <n v="4227300"/>
    <m/>
    <n v="4227300"/>
    <m/>
    <n v="4227300"/>
    <m/>
    <n v="4227300"/>
    <m/>
    <n v="8595510"/>
    <n v="140910"/>
    <m/>
    <n v="48613950"/>
    <n v="48613950"/>
    <n v="0"/>
    <n v="0"/>
    <n v="0"/>
  </r>
  <r>
    <x v="0"/>
    <x v="9"/>
    <s v="Territorial"/>
    <s v="Si"/>
    <n v="46"/>
    <s v="100-32"/>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874270"/>
    <n v="23874270"/>
    <s v="No"/>
    <s v="N/A"/>
    <s v="Ingrid Viviana Garzón"/>
    <s v="Asesora Dirección general"/>
    <n v="6012220601"/>
    <s v="ingrid.garzon@upme.gov.co"/>
    <m/>
    <m/>
    <n v="38958800"/>
    <m/>
    <m/>
    <n v="2969538"/>
    <n v="-438060"/>
    <n v="3285450"/>
    <m/>
    <n v="3285450"/>
    <m/>
    <n v="3285450"/>
    <m/>
    <n v="3285450"/>
    <m/>
    <n v="3285450"/>
    <n v="-15084530"/>
    <n v="3285450"/>
    <m/>
    <n v="753972"/>
    <m/>
    <m/>
    <m/>
    <m/>
    <n v="438060"/>
    <n v="438060"/>
    <n v="23874270"/>
    <n v="23874270"/>
    <n v="0"/>
    <n v="0"/>
    <n v="0"/>
  </r>
  <r>
    <x v="0"/>
    <x v="9"/>
    <s v="Territorial"/>
    <s v="Si"/>
    <n v="11"/>
    <s v="100-33"/>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m/>
    <m/>
    <n v="55000000"/>
    <n v="55000000"/>
    <n v="0"/>
    <n v="0"/>
    <n v="0"/>
  </r>
  <r>
    <x v="0"/>
    <x v="9"/>
    <s v="Territorial"/>
    <s v="Si"/>
    <n v="11"/>
    <s v="100-34"/>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950000"/>
    <n v="37950000"/>
    <s v="No"/>
    <s v="N/A"/>
    <s v="Ingrid Viviana Garzón"/>
    <s v="Asesora Dirección general"/>
    <n v="6012220601"/>
    <s v="ingrid.garzon@upme.gov.co"/>
    <m/>
    <m/>
    <n v="37950000"/>
    <m/>
    <m/>
    <n v="2990000"/>
    <n v="-460000"/>
    <n v="3450000"/>
    <m/>
    <n v="3450000"/>
    <m/>
    <n v="3450000"/>
    <m/>
    <n v="3450000"/>
    <m/>
    <n v="3450000"/>
    <m/>
    <n v="3450000"/>
    <m/>
    <n v="3450000"/>
    <m/>
    <n v="3450000"/>
    <m/>
    <n v="6900000"/>
    <n v="460000"/>
    <n v="460000"/>
    <n v="37950000"/>
    <n v="37950000"/>
    <n v="0"/>
    <n v="0"/>
    <n v="0"/>
  </r>
  <r>
    <x v="0"/>
    <x v="9"/>
    <s v="Territorial"/>
    <s v="Si"/>
    <s v="75 (30/12/2024)"/>
    <s v="100-3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m/>
    <m/>
    <n v="56749000"/>
    <n v="56749000"/>
    <n v="0"/>
    <n v="0"/>
    <n v="0"/>
  </r>
  <r>
    <x v="0"/>
    <x v="9"/>
    <s v="Territorial"/>
    <s v="Si"/>
    <n v="11"/>
    <s v="100-36"/>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9500000"/>
    <n v="49500000"/>
    <s v="No"/>
    <s v="N/A"/>
    <s v="Ingrid Viviana Garzón"/>
    <s v="Asesora Dirección general"/>
    <n v="6012220601"/>
    <s v="ingrid.garzon@upme.gov.co"/>
    <m/>
    <m/>
    <n v="49500000"/>
    <m/>
    <m/>
    <n v="3900000"/>
    <n v="-600000"/>
    <n v="4500000"/>
    <m/>
    <n v="4500000"/>
    <m/>
    <n v="4500000"/>
    <m/>
    <n v="4500000"/>
    <m/>
    <n v="4500000"/>
    <m/>
    <n v="4500000"/>
    <m/>
    <n v="4500000"/>
    <m/>
    <n v="4500000"/>
    <m/>
    <n v="9000000"/>
    <n v="600000"/>
    <n v="600000"/>
    <n v="49500000"/>
    <n v="49500000"/>
    <n v="0"/>
    <n v="0"/>
    <n v="0"/>
  </r>
  <r>
    <x v="0"/>
    <x v="9"/>
    <s v="Territorial"/>
    <s v="Si"/>
    <s v="75 (30/12/2024)"/>
    <s v="100-37"/>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00000"/>
    <n v="62000000"/>
    <s v="No"/>
    <s v="N/A"/>
    <s v="Ingrid Viviana Garzón"/>
    <s v="Asesora Dirección general"/>
    <n v="6012220601"/>
    <s v="ingrid.garzon@upme.gov.co"/>
    <m/>
    <m/>
    <n v="62000000"/>
    <m/>
    <m/>
    <n v="4960000"/>
    <m/>
    <n v="6200000"/>
    <m/>
    <n v="6200000"/>
    <m/>
    <n v="6200000"/>
    <m/>
    <n v="6200000"/>
    <m/>
    <n v="6200000"/>
    <m/>
    <n v="6200000"/>
    <m/>
    <n v="6200000"/>
    <m/>
    <n v="6200000"/>
    <m/>
    <n v="7440000"/>
    <m/>
    <m/>
    <n v="62000000"/>
    <n v="62000000"/>
    <n v="0"/>
    <n v="0"/>
    <n v="0"/>
  </r>
  <r>
    <x v="0"/>
    <x v="9"/>
    <s v="Territorial"/>
    <s v="Si"/>
    <s v="75 (30/12/2024)"/>
    <s v="100-38"/>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m/>
    <n v="7500000"/>
    <m/>
    <n v="7500000"/>
    <m/>
    <n v="7500000"/>
    <m/>
    <n v="13250000"/>
    <m/>
    <m/>
    <n v="86250000"/>
    <n v="86250000"/>
    <n v="0"/>
    <n v="0"/>
    <n v="0"/>
  </r>
  <r>
    <x v="0"/>
    <x v="9"/>
    <s v="Territorial"/>
    <s v="Si"/>
    <n v="2"/>
    <s v="100-39"/>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2500000"/>
    <n v="82500000"/>
    <s v="No"/>
    <s v="N/A"/>
    <s v="Ingrid Viviana Garzón"/>
    <s v="Asesora Dirección general"/>
    <n v="6012220601"/>
    <s v="ingrid.garzon@upme.gov.co"/>
    <m/>
    <m/>
    <n v="81250000"/>
    <m/>
    <m/>
    <n v="1500000"/>
    <n v="-1000000"/>
    <n v="7500000"/>
    <m/>
    <n v="7500000"/>
    <m/>
    <n v="8045675"/>
    <m/>
    <n v="8716575"/>
    <m/>
    <n v="7500000"/>
    <m/>
    <n v="7500000"/>
    <m/>
    <n v="7500000"/>
    <m/>
    <n v="7500000"/>
    <m/>
    <n v="15000000"/>
    <n v="2250000"/>
    <n v="4237750"/>
    <n v="82500000"/>
    <n v="82500000"/>
    <n v="0"/>
    <n v="0"/>
    <n v="0"/>
  </r>
  <r>
    <x v="0"/>
    <x v="9"/>
    <s v="Territorial"/>
    <s v="Si"/>
    <n v="46"/>
    <s v="100-40"/>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m/>
    <m/>
    <n v="65800000"/>
    <n v="65800000"/>
    <n v="0"/>
    <n v="0"/>
    <n v="0"/>
  </r>
  <r>
    <x v="0"/>
    <x v="9"/>
    <s v="Territorial"/>
    <s v="Si"/>
    <n v="11"/>
    <s v="100-41"/>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4862700"/>
    <n v="14862700"/>
    <s v="No"/>
    <s v="N/A"/>
    <s v="Ingrid Viviana Garzón"/>
    <s v="Asesora Dirección general"/>
    <n v="6012220601"/>
    <s v="ingrid.garzon@upme.gov.co"/>
    <m/>
    <m/>
    <n v="13862700"/>
    <m/>
    <m/>
    <n v="588115"/>
    <m/>
    <n v="1260247"/>
    <m/>
    <n v="1260247"/>
    <m/>
    <n v="1344261"/>
    <m/>
    <n v="1344261"/>
    <m/>
    <n v="824351"/>
    <m/>
    <n v="6675757"/>
    <m/>
    <n v="565461"/>
    <m/>
    <m/>
    <m/>
    <m/>
    <n v="1000000"/>
    <n v="1000000"/>
    <n v="14862700"/>
    <n v="14862700"/>
    <n v="0"/>
    <n v="0"/>
    <n v="0"/>
  </r>
  <r>
    <x v="0"/>
    <x v="9"/>
    <s v="Territorial"/>
    <s v="Si"/>
    <n v="46"/>
    <s v="100-42"/>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3296667"/>
    <n v="83296667"/>
    <s v="No"/>
    <s v="N/A"/>
    <s v="Ingrid Viviana Garzón"/>
    <s v="Asesora Dirección general"/>
    <n v="6012220601"/>
    <s v="ingrid.garzon@upme.gov.co"/>
    <m/>
    <m/>
    <m/>
    <m/>
    <n v="83850000"/>
    <m/>
    <m/>
    <n v="3596667"/>
    <n v="-553333"/>
    <n v="9203395"/>
    <m/>
    <n v="9203395"/>
    <m/>
    <n v="8300000"/>
    <m/>
    <n v="8300000"/>
    <m/>
    <n v="8300000"/>
    <m/>
    <n v="8300000"/>
    <m/>
    <n v="8300000"/>
    <m/>
    <n v="19793210"/>
    <m/>
    <m/>
    <n v="83296667"/>
    <n v="83296667"/>
    <n v="0"/>
    <n v="0"/>
    <n v="0"/>
  </r>
  <r>
    <x v="0"/>
    <x v="9"/>
    <s v="Territorial"/>
    <s v="Si"/>
    <n v="5"/>
    <s v="100-43"/>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m/>
    <m/>
    <n v="47250000"/>
    <n v="47250000"/>
    <n v="0"/>
    <n v="0"/>
    <n v="0"/>
  </r>
  <r>
    <x v="0"/>
    <x v="9"/>
    <s v="Territorial"/>
    <s v="Si"/>
    <s v="75 (30/12/2024)"/>
    <s v="100-44"/>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m/>
    <m/>
    <n v="48997300"/>
    <n v="48997300"/>
    <n v="0"/>
    <n v="0"/>
    <n v="0"/>
  </r>
  <r>
    <x v="0"/>
    <x v="9"/>
    <s v="Territorial"/>
    <s v="Si"/>
    <n v="25"/>
    <s v="100-45"/>
    <s v="2 - Fortalecer el conocimiento de la población y el territorio en cuanto a la dinámica de la planeación minero energética. "/>
    <x v="25"/>
    <s v="Diseñar la estrategia de comunicación y participación con actores, territorio y sector, que mejoren el relacionamiento con dichos actores bajo el Enfoque Territorial"/>
    <s v="c"/>
    <x v="23"/>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n v="56000000"/>
    <m/>
    <n v="56000000"/>
    <m/>
    <n v="56335071"/>
    <m/>
    <m/>
    <n v="168335071"/>
    <n v="168335071"/>
    <n v="0"/>
    <n v="0"/>
    <n v="0"/>
  </r>
  <r>
    <x v="0"/>
    <x v="9"/>
    <s v="Territorial"/>
    <s v="Si"/>
    <n v="2"/>
    <s v="100-46"/>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70500000"/>
    <n v="70500000"/>
    <s v="No"/>
    <s v="N/A"/>
    <s v="Ingrid Viviana Garzón"/>
    <s v="Asesora Dirección general"/>
    <n v="6012220601"/>
    <s v="ingrid.garzon@upme.gov.co"/>
    <m/>
    <m/>
    <n v="70500000"/>
    <m/>
    <m/>
    <n v="6026125"/>
    <n v="-800000"/>
    <n v="6000000"/>
    <m/>
    <n v="6000000"/>
    <m/>
    <n v="6000000"/>
    <m/>
    <n v="7471800"/>
    <m/>
    <n v="6000000"/>
    <m/>
    <n v="6000000"/>
    <m/>
    <n v="7000000"/>
    <m/>
    <n v="6000000"/>
    <m/>
    <n v="13202075"/>
    <n v="800000"/>
    <n v="800000"/>
    <n v="70500000"/>
    <n v="70500000"/>
    <n v="0"/>
    <n v="0"/>
    <n v="0"/>
  </r>
  <r>
    <x v="0"/>
    <x v="9"/>
    <s v="Territorial"/>
    <s v="Si"/>
    <n v="46"/>
    <s v="100-4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000000"/>
    <m/>
    <n v="13722800"/>
    <m/>
    <m/>
    <n v="63000000"/>
    <n v="63000000"/>
    <n v="0"/>
    <n v="0"/>
    <n v="0"/>
  </r>
  <r>
    <x v="0"/>
    <x v="9"/>
    <s v="Territorial"/>
    <s v="Si"/>
    <n v="25"/>
    <s v="100-4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s v="N/A"/>
    <x v="23"/>
    <s v="Viáticos y gastos de viaje"/>
    <s v="100-48 Pago de viáticos y gastos de desplazamiento para la implementación y evaluación de la estrategia de comunicación y participación de la UPME."/>
    <s v="Febrero"/>
    <s v="Febrero"/>
    <s v="Febrero"/>
    <n v="12"/>
    <s v="Meses"/>
    <s v="N/A"/>
    <s v="Propios - 20 - Ingresos corrientes"/>
    <n v="96318378"/>
    <n v="96318378"/>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7000000"/>
    <n v="7000000"/>
    <n v="10000000"/>
    <n v="10000000"/>
    <n v="10972341"/>
    <n v="16035168"/>
    <n v="40000000"/>
    <n v="40000000"/>
    <n v="96318378"/>
    <n v="96318378"/>
    <n v="0"/>
    <n v="0"/>
    <n v="0"/>
  </r>
  <r>
    <x v="0"/>
    <x v="9"/>
    <s v="Territorial"/>
    <s v="Si"/>
    <n v="46"/>
    <s v="100-4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n v="1998990"/>
    <m/>
    <m/>
    <m/>
    <m/>
    <m/>
    <m/>
    <n v="33094390"/>
    <n v="33094390"/>
    <n v="0"/>
    <n v="0"/>
    <n v="0"/>
  </r>
  <r>
    <x v="0"/>
    <x v="9"/>
    <s v="Territorial"/>
    <s v="Si"/>
    <n v="5"/>
    <s v="100-5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8466667"/>
    <n v="68466667"/>
    <s v="No"/>
    <s v="N/A"/>
    <s v="Ingrid Viviana Garzón"/>
    <s v="Asesora Dirección general"/>
    <n v="6012220601"/>
    <s v="ingrid.garzon@upme.gov.co"/>
    <m/>
    <m/>
    <n v="68466667"/>
    <m/>
    <m/>
    <n v="3600000"/>
    <m/>
    <n v="6000000"/>
    <m/>
    <n v="6495675"/>
    <m/>
    <n v="6000000"/>
    <m/>
    <n v="6000000"/>
    <m/>
    <n v="6000000"/>
    <m/>
    <n v="6000000"/>
    <m/>
    <n v="6000000"/>
    <m/>
    <n v="6000000"/>
    <m/>
    <n v="12000000"/>
    <m/>
    <n v="4370992"/>
    <n v="68466667"/>
    <n v="68466667"/>
    <n v="0"/>
    <n v="0"/>
    <n v="0"/>
  </r>
  <r>
    <x v="0"/>
    <x v="9"/>
    <s v="Territorial"/>
    <s v="Si"/>
    <n v="8"/>
    <s v="100-51"/>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m/>
    <m/>
    <n v="4659681"/>
    <m/>
    <m/>
    <m/>
    <m/>
    <n v="20664606"/>
    <n v="20664606"/>
    <n v="0"/>
    <n v="0"/>
    <n v="0"/>
  </r>
  <r>
    <x v="0"/>
    <x v="9"/>
    <s v="Territorial"/>
    <s v="Si"/>
    <s v="75 (30/12/2024)"/>
    <s v="100-52"/>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24000000"/>
    <m/>
    <n v="7955488"/>
    <n v="150000000"/>
    <n v="150000000"/>
    <n v="0"/>
    <n v="0"/>
    <n v="0"/>
  </r>
  <r>
    <x v="0"/>
    <x v="9"/>
    <s v="Territorial"/>
    <s v="Si"/>
    <s v="75 (30/12/2024)"/>
    <s v="100-5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6000000"/>
    <n v="26000000"/>
    <s v="No"/>
    <s v="N/A"/>
    <s v="Ingrid Viviana Garzón"/>
    <s v="Asesora Dirección general"/>
    <n v="6012220601"/>
    <s v="ingrid.garzon@upme.gov.co"/>
    <n v="26000000"/>
    <m/>
    <n v="-1066667"/>
    <m/>
    <m/>
    <m/>
    <m/>
    <m/>
    <m/>
    <m/>
    <m/>
    <m/>
    <m/>
    <m/>
    <m/>
    <m/>
    <m/>
    <m/>
    <m/>
    <n v="933333"/>
    <m/>
    <n v="8000000"/>
    <m/>
    <n v="16000000"/>
    <n v="1066667"/>
    <n v="1066667"/>
    <n v="26000000"/>
    <n v="26000000"/>
    <n v="0"/>
    <n v="0"/>
    <n v="0"/>
  </r>
  <r>
    <x v="0"/>
    <x v="9"/>
    <s v="Territorial"/>
    <s v="Si"/>
    <n v="46"/>
    <s v="100-54"/>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141800"/>
    <n v="13141800"/>
    <s v="No"/>
    <s v="N/A"/>
    <s v="Ingrid Viviana Garzón"/>
    <s v="Asesora Dirección general"/>
    <n v="6012220601"/>
    <s v="ingrid.garzon@upme.gov.co"/>
    <m/>
    <m/>
    <m/>
    <m/>
    <m/>
    <m/>
    <m/>
    <m/>
    <m/>
    <m/>
    <m/>
    <m/>
    <m/>
    <m/>
    <m/>
    <m/>
    <n v="13141800"/>
    <m/>
    <m/>
    <n v="3285450"/>
    <m/>
    <n v="3285450"/>
    <m/>
    <n v="6570900"/>
    <m/>
    <m/>
    <n v="13141800"/>
    <n v="13141800"/>
    <n v="0"/>
    <n v="0"/>
    <n v="0"/>
  </r>
  <r>
    <x v="0"/>
    <x v="9"/>
    <s v="Territorial"/>
    <s v="Si"/>
    <n v="33"/>
    <s v="100-55"/>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2111801"/>
    <x v="23"/>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m/>
    <m/>
    <n v="0"/>
    <n v="0"/>
    <n v="0"/>
    <n v="0"/>
    <n v="0"/>
  </r>
  <r>
    <x v="0"/>
    <x v="9"/>
    <s v="Territorial"/>
    <s v="Si"/>
    <n v="46"/>
    <s v="100-56"/>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544534"/>
    <m/>
    <m/>
    <m/>
    <m/>
    <n v="36212734"/>
    <n v="36212734"/>
    <n v="0"/>
    <n v="0"/>
    <n v="0"/>
  </r>
  <r>
    <x v="0"/>
    <x v="9"/>
    <s v="Territorial"/>
    <s v="Si"/>
    <n v="8"/>
    <s v="100-5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7571800"/>
    <n v="77571800"/>
    <s v="No"/>
    <s v="N/A"/>
    <s v="Ingrid Viviana Garzón"/>
    <s v="Asesora Dirección general"/>
    <n v="6012220601"/>
    <s v="ingrid.garzon@upme.gov.co"/>
    <m/>
    <m/>
    <m/>
    <m/>
    <n v="77571800"/>
    <m/>
    <m/>
    <n v="4250000"/>
    <n v="-3250000"/>
    <n v="7500000"/>
    <m/>
    <n v="7500000"/>
    <m/>
    <n v="7500000"/>
    <m/>
    <n v="7500000"/>
    <m/>
    <n v="7500000"/>
    <m/>
    <n v="7500000"/>
    <m/>
    <n v="7500000"/>
    <m/>
    <n v="15000000"/>
    <n v="3250000"/>
    <n v="5821800"/>
    <n v="77571800"/>
    <n v="77571800"/>
    <n v="0"/>
    <n v="0"/>
    <n v="0"/>
  </r>
  <r>
    <x v="0"/>
    <x v="9"/>
    <s v="Territorial"/>
    <s v="Si"/>
    <n v="8"/>
    <s v="100-5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97000"/>
    <m/>
    <n v="8897000"/>
    <m/>
    <n v="8897000"/>
    <m/>
    <n v="17794000"/>
    <m/>
    <n v="2965667"/>
    <n v="88970000"/>
    <n v="88970000"/>
    <n v="0"/>
    <n v="0"/>
    <n v="0"/>
  </r>
  <r>
    <x v="0"/>
    <x v="9"/>
    <s v="Territorial"/>
    <s v="Si"/>
    <n v="33"/>
    <s v="100-5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9113974"/>
    <n v="19113974"/>
    <s v="No"/>
    <s v="N/A"/>
    <s v="Ingrid Viviana Garzón"/>
    <s v="Asesora Dirección general"/>
    <n v="6012220601"/>
    <s v="ingrid.garzon@upme.gov.co"/>
    <m/>
    <m/>
    <m/>
    <m/>
    <m/>
    <m/>
    <m/>
    <m/>
    <m/>
    <m/>
    <m/>
    <m/>
    <m/>
    <m/>
    <m/>
    <m/>
    <m/>
    <m/>
    <n v="17333333"/>
    <m/>
    <m/>
    <n v="4333333"/>
    <m/>
    <n v="13000000"/>
    <n v="1780641"/>
    <n v="1780641"/>
    <n v="19113974"/>
    <n v="19113974"/>
    <n v="0"/>
    <n v="0"/>
    <n v="0"/>
  </r>
  <r>
    <x v="0"/>
    <x v="9"/>
    <s v="Territorial"/>
    <s v="Si"/>
    <n v="16"/>
    <s v="100-6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43233501"/>
    <x v="23"/>
    <s v="Software-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n v="24959146"/>
    <m/>
    <m/>
    <m/>
    <m/>
    <n v="24959146"/>
    <n v="24959146"/>
    <n v="0"/>
    <n v="0"/>
    <n v="0"/>
  </r>
  <r>
    <x v="0"/>
    <x v="9"/>
    <s v="Territorial"/>
    <s v="Si"/>
    <n v="32"/>
    <s v="100-61"/>
    <s v="1 - Incluir el uso de las particularidades propias de cada territorio en la planeación minero energética."/>
    <x v="0"/>
    <s v="Identificar e incorporar variables sociales, ambientales y territoriales en los documentos de planeación minero energética"/>
    <n v="80111620"/>
    <x v="2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m/>
    <m/>
    <n v="25466000"/>
    <m/>
    <m/>
    <m/>
    <m/>
    <n v="25466000"/>
    <m/>
    <m/>
    <n v="25466000"/>
    <n v="25466000"/>
    <n v="0"/>
    <n v="0"/>
    <n v="0"/>
  </r>
  <r>
    <x v="0"/>
    <x v="9"/>
    <s v="Territorial"/>
    <s v="Si"/>
    <n v="31"/>
    <s v="100-6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9130000"/>
    <m/>
    <n v="9130000"/>
    <m/>
    <n v="14110000"/>
    <m/>
    <m/>
    <n v="41500000"/>
    <n v="41500000"/>
    <n v="0"/>
    <n v="0"/>
    <n v="0"/>
  </r>
  <r>
    <x v="0"/>
    <x v="9"/>
    <s v="Territorial"/>
    <s v="Si"/>
    <n v="38"/>
    <s v="100-6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60053700"/>
    <n v="60053700"/>
    <s v="No"/>
    <s v="N/A"/>
    <s v="Mateo Severino Rodriguez"/>
    <m/>
    <n v="6012220601"/>
    <s v="mateo.severino@upme.gov.co"/>
    <m/>
    <m/>
    <m/>
    <m/>
    <m/>
    <m/>
    <m/>
    <m/>
    <m/>
    <m/>
    <m/>
    <m/>
    <m/>
    <m/>
    <n v="60053700"/>
    <m/>
    <m/>
    <n v="2267825"/>
    <m/>
    <n v="13606950"/>
    <m/>
    <n v="13606950"/>
    <m/>
    <n v="27213900"/>
    <m/>
    <n v="3358075"/>
    <n v="60053700"/>
    <n v="60053700"/>
    <n v="0"/>
    <n v="0"/>
    <n v="0"/>
  </r>
  <r>
    <x v="0"/>
    <x v="9"/>
    <s v="Territorial"/>
    <s v="Si"/>
    <n v="42"/>
    <s v="100-6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8000000"/>
    <n v="28000000"/>
    <s v="No"/>
    <s v="N/A"/>
    <s v="Mateo Severino Rodriguez"/>
    <m/>
    <n v="6012220601"/>
    <s v="mateo.severino@upme.gov.co"/>
    <m/>
    <m/>
    <m/>
    <m/>
    <m/>
    <m/>
    <m/>
    <m/>
    <m/>
    <m/>
    <m/>
    <m/>
    <m/>
    <m/>
    <m/>
    <m/>
    <m/>
    <m/>
    <n v="28000000"/>
    <m/>
    <m/>
    <n v="9333333"/>
    <m/>
    <n v="18666667"/>
    <m/>
    <m/>
    <n v="28000000"/>
    <n v="28000000"/>
    <n v="0"/>
    <n v="0"/>
    <n v="0"/>
  </r>
  <r>
    <x v="0"/>
    <x v="9"/>
    <s v="Territorial"/>
    <s v="Si"/>
    <n v="46"/>
    <s v="100-6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m/>
    <m/>
    <n v="15416667"/>
    <n v="15416667"/>
    <n v="0"/>
    <n v="0"/>
    <n v="0"/>
  </r>
  <r>
    <x v="0"/>
    <x v="9"/>
    <s v="Territorial"/>
    <s v="Si"/>
    <n v="46"/>
    <s v="100-66"/>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m/>
    <m/>
    <n v="5087886"/>
    <n v="5087886"/>
    <n v="0"/>
    <n v="0"/>
    <n v="0"/>
  </r>
  <r>
    <x v="0"/>
    <x v="9"/>
    <s v="Territorial"/>
    <s v="Si"/>
    <n v="46"/>
    <s v="100-67"/>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176666"/>
    <n v="4176666"/>
    <s v="No"/>
    <s v="N/A"/>
    <s v="Sandra Caballero"/>
    <s v="Asesora Dirección general"/>
    <n v="6012220601"/>
    <s v="sandra.caballero@upme.gov.co"/>
    <m/>
    <m/>
    <m/>
    <m/>
    <m/>
    <m/>
    <m/>
    <m/>
    <m/>
    <m/>
    <m/>
    <m/>
    <m/>
    <m/>
    <m/>
    <m/>
    <m/>
    <m/>
    <n v="4176666"/>
    <m/>
    <m/>
    <m/>
    <m/>
    <n v="4176666"/>
    <m/>
    <m/>
    <n v="4176666"/>
    <n v="4176666"/>
    <n v="0"/>
    <n v="0"/>
    <n v="0"/>
  </r>
  <r>
    <x v="0"/>
    <x v="9"/>
    <s v="Territorial"/>
    <s v="Si"/>
    <n v="46"/>
    <s v="100-6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m/>
    <m/>
    <n v="5943311"/>
    <n v="5943311"/>
    <n v="0"/>
    <n v="0"/>
    <n v="0"/>
  </r>
  <r>
    <x v="0"/>
    <x v="9"/>
    <s v="Territorial"/>
    <s v="Si"/>
    <n v="46"/>
    <s v="100-6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19567618"/>
    <n v="19567618"/>
    <s v="No"/>
    <s v="N/A"/>
    <s v="Sandra Caballero"/>
    <s v="Asesora Dirección general"/>
    <n v="6012220601"/>
    <s v="sandra.caballero@upme.gov.co"/>
    <m/>
    <m/>
    <m/>
    <m/>
    <m/>
    <m/>
    <m/>
    <m/>
    <m/>
    <m/>
    <m/>
    <m/>
    <m/>
    <m/>
    <m/>
    <m/>
    <m/>
    <m/>
    <n v="17333333"/>
    <m/>
    <m/>
    <n v="4333333"/>
    <m/>
    <n v="13000000"/>
    <n v="2234285"/>
    <n v="2234285"/>
    <n v="19567618"/>
    <n v="19567618"/>
    <n v="0"/>
    <n v="0"/>
    <n v="0"/>
  </r>
  <r>
    <x v="0"/>
    <x v="9"/>
    <s v="Territorial"/>
    <s v="Si"/>
    <n v="46"/>
    <s v="100-7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10800000"/>
    <n v="10800000"/>
    <s v="No"/>
    <s v="N/A"/>
    <s v="Sandra Caballero"/>
    <s v="Asesora Dirección general"/>
    <n v="6012220601"/>
    <s v="sandra.caballero@upme.gov.co"/>
    <m/>
    <m/>
    <m/>
    <m/>
    <m/>
    <m/>
    <m/>
    <m/>
    <m/>
    <m/>
    <m/>
    <m/>
    <m/>
    <m/>
    <m/>
    <m/>
    <m/>
    <m/>
    <n v="10800000"/>
    <m/>
    <m/>
    <n v="3600000"/>
    <m/>
    <n v="7200000"/>
    <m/>
    <m/>
    <n v="10800000"/>
    <n v="10800000"/>
    <n v="0"/>
    <n v="0"/>
    <n v="0"/>
  </r>
  <r>
    <x v="0"/>
    <x v="9"/>
    <s v="Territorial"/>
    <s v="Si"/>
    <n v="46"/>
    <s v="100-71"/>
    <s v="1 - Incluir el uso de las particularidades propias de cada territorio en la planeación minero energética."/>
    <x v="0"/>
    <s v="Identificar e incorporar variables sociales, ambientales y territoriales en los documentos de planeación minero energética"/>
    <n v="80141607"/>
    <x v="22"/>
    <s v="Operador logístico"/>
    <s v="100-71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1"/>
    <s v="Meses"/>
    <s v="Contratación directa "/>
    <s v="Propios - 20 - Ingresos corrientes"/>
    <n v="22569838"/>
    <n v="22569838"/>
    <s v="No"/>
    <s v="N/A"/>
    <s v="Sandra Caballero"/>
    <s v="Asesora Dirección general"/>
    <n v="6012220601"/>
    <s v="sandra.caballero@upme.gov.co"/>
    <m/>
    <m/>
    <m/>
    <m/>
    <m/>
    <m/>
    <m/>
    <m/>
    <m/>
    <m/>
    <m/>
    <m/>
    <m/>
    <m/>
    <m/>
    <m/>
    <m/>
    <m/>
    <n v="22569838"/>
    <m/>
    <m/>
    <m/>
    <m/>
    <n v="22569838"/>
    <m/>
    <m/>
    <n v="22569838"/>
    <n v="22569838"/>
    <n v="0"/>
    <n v="0"/>
    <n v="0"/>
  </r>
  <r>
    <x v="0"/>
    <x v="9"/>
    <s v="Territorial"/>
    <s v="Si"/>
    <n v="46"/>
    <s v="100-7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n v="5333333"/>
    <m/>
    <m/>
    <m/>
    <m/>
    <n v="5333333"/>
    <m/>
    <m/>
    <n v="5333333"/>
    <n v="5333333"/>
    <n v="0"/>
    <n v="0"/>
    <n v="0"/>
  </r>
  <r>
    <x v="1"/>
    <x v="0"/>
    <s v="N.A"/>
    <s v="Si"/>
    <n v="32"/>
    <s v="111-1"/>
    <s v="N.A"/>
    <x v="26"/>
    <s v="N.A"/>
    <n v="72151514"/>
    <x v="24"/>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n v="2538666"/>
    <m/>
    <n v="2538666"/>
    <m/>
    <n v="5077336"/>
    <m/>
    <m/>
    <n v="0"/>
    <n v="10154668"/>
    <n v="-10154668"/>
    <n v="15232000"/>
    <n v="5077332"/>
  </r>
  <r>
    <x v="1"/>
    <x v="0"/>
    <s v="N.A"/>
    <s v="Si"/>
    <n v="24"/>
    <s v="111-2"/>
    <s v="N.A"/>
    <x v="26"/>
    <s v="N.A"/>
    <n v="41111970"/>
    <x v="24"/>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n v="821219"/>
    <m/>
    <m/>
    <m/>
    <n v="821219"/>
    <m/>
    <m/>
    <n v="0"/>
    <n v="1642438"/>
    <n v="-1642438"/>
    <n v="3284876"/>
    <n v="1642438"/>
  </r>
  <r>
    <x v="1"/>
    <x v="0"/>
    <s v="N.A"/>
    <s v="Si"/>
    <s v="75 (30/12/2024)"/>
    <s v="111-3"/>
    <s v="N.A"/>
    <x v="26"/>
    <s v="N.A"/>
    <n v="72101511"/>
    <x v="24"/>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m/>
    <m/>
    <n v="0"/>
    <n v="1844934"/>
    <n v="-1844934"/>
    <n v="7379736"/>
    <n v="5534802"/>
  </r>
  <r>
    <x v="1"/>
    <x v="0"/>
    <s v="N.A"/>
    <s v="Si"/>
    <s v="75 (30/12/2024)"/>
    <s v="111-4"/>
    <s v="N.A"/>
    <x v="26"/>
    <s v="N.A"/>
    <n v="72101509"/>
    <x v="24"/>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m/>
    <m/>
    <n v="0"/>
    <n v="7538440"/>
    <n v="-7538440"/>
    <n v="22615320"/>
    <n v="15076880"/>
  </r>
  <r>
    <x v="1"/>
    <x v="0"/>
    <s v="N.A"/>
    <s v="Si"/>
    <s v="75 (30/12/2024)"/>
    <s v="111-5"/>
    <s v="N.A"/>
    <x v="26"/>
    <s v="N.A"/>
    <n v="78181507"/>
    <x v="24"/>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n v="386250"/>
    <m/>
    <n v="386250"/>
    <m/>
    <n v="386250"/>
    <m/>
    <m/>
    <n v="0"/>
    <n v="1158750"/>
    <n v="-1158750"/>
    <n v="3090000"/>
    <n v="1931250"/>
  </r>
  <r>
    <x v="1"/>
    <x v="0"/>
    <s v="N.A"/>
    <s v="Si"/>
    <n v="30"/>
    <s v="111-6"/>
    <s v="N.A"/>
    <x v="26"/>
    <s v="N.A"/>
    <n v="78181507"/>
    <x v="24"/>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r>
  <r>
    <x v="1"/>
    <x v="0"/>
    <s v="N.A"/>
    <s v="Si"/>
    <s v="75 (30/12/2024)"/>
    <s v="111-7"/>
    <s v="N.A"/>
    <x v="26"/>
    <s v="N.A"/>
    <n v="46191601"/>
    <x v="24"/>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m/>
    <m/>
    <n v="0"/>
    <n v="0"/>
    <n v="0"/>
    <n v="3500000"/>
    <n v="3500000"/>
  </r>
  <r>
    <x v="1"/>
    <x v="0"/>
    <s v="N.A"/>
    <s v="Si"/>
    <n v="27"/>
    <s v="111-8"/>
    <s v="N.A"/>
    <x v="26"/>
    <s v="N.A"/>
    <s v="44103125;81101707"/>
    <x v="24"/>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n v="933300"/>
    <m/>
    <n v="933300"/>
    <m/>
    <n v="1866600"/>
    <m/>
    <m/>
    <n v="0"/>
    <n v="3733200"/>
    <n v="-3733200"/>
    <n v="6533100"/>
    <n v="2799900"/>
  </r>
  <r>
    <x v="1"/>
    <x v="0"/>
    <s v="N.A"/>
    <s v="Si"/>
    <s v="75 (30/12/2024)"/>
    <s v="111-9"/>
    <s v="N.A"/>
    <x v="26"/>
    <s v="N.A"/>
    <n v="72151704"/>
    <x v="24"/>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m/>
    <m/>
    <n v="0"/>
    <n v="0"/>
    <n v="0"/>
    <n v="4000000"/>
    <n v="4000000"/>
  </r>
  <r>
    <x v="1"/>
    <x v="0"/>
    <s v="N.A"/>
    <s v="Si"/>
    <s v="75 (30/12/2024)"/>
    <s v="111-10"/>
    <s v="N.A"/>
    <x v="26"/>
    <s v="N.A"/>
    <n v="72102900"/>
    <x v="24"/>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n v="27250000"/>
    <m/>
    <m/>
    <m/>
    <m/>
    <m/>
    <m/>
    <n v="0"/>
    <n v="27250000"/>
    <n v="-27250000"/>
    <n v="54500000"/>
    <n v="27250000"/>
  </r>
  <r>
    <x v="1"/>
    <x v="0"/>
    <s v="N.A"/>
    <s v="Si"/>
    <s v="75 (30/12/2024)"/>
    <s v="111-11"/>
    <s v="N.A"/>
    <x v="26"/>
    <s v="N.A"/>
    <n v="44103100"/>
    <x v="25"/>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m/>
    <m/>
    <m/>
    <m/>
    <m/>
    <m/>
    <m/>
    <m/>
    <m/>
    <n v="0"/>
    <n v="0"/>
    <n v="0"/>
    <n v="6736200"/>
    <n v="6736200"/>
  </r>
  <r>
    <x v="1"/>
    <x v="0"/>
    <s v="N.A"/>
    <s v="Si"/>
    <s v="75 (30/12/2024)"/>
    <s v="111-12"/>
    <s v="N.A"/>
    <x v="26"/>
    <s v="N.A"/>
    <n v="80131500"/>
    <x v="26"/>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n v="10487273"/>
    <m/>
    <n v="10487273"/>
    <m/>
    <n v="10487270"/>
    <m/>
    <m/>
    <n v="0"/>
    <n v="31461816"/>
    <n v="-31461816"/>
    <n v="115360000"/>
    <n v="83898184"/>
  </r>
  <r>
    <x v="1"/>
    <x v="0"/>
    <s v="N.A"/>
    <s v="Si"/>
    <n v="32"/>
    <s v="111-13"/>
    <s v="N.A"/>
    <x v="26"/>
    <s v="N.A"/>
    <s v="78102203;78102206"/>
    <x v="27"/>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n v="2975450"/>
    <m/>
    <n v="2975450"/>
    <m/>
    <n v="5950900"/>
    <m/>
    <m/>
    <n v="0"/>
    <n v="11901800"/>
    <n v="-11901800"/>
    <n v="23803600"/>
    <n v="11901800"/>
  </r>
  <r>
    <x v="1"/>
    <x v="0"/>
    <s v="N.A"/>
    <s v="Si"/>
    <s v="75 (30/12/2024)"/>
    <s v="111-14"/>
    <s v="N.A"/>
    <x v="26"/>
    <s v="N.A"/>
    <n v="55101519"/>
    <x v="28"/>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n v="2000000"/>
    <m/>
    <n v="2000000"/>
    <m/>
    <n v="2000000"/>
    <m/>
    <m/>
    <n v="0"/>
    <n v="6000000"/>
    <n v="-6000000"/>
    <n v="20000000"/>
    <n v="14000000"/>
  </r>
  <r>
    <x v="1"/>
    <x v="0"/>
    <s v="N.A"/>
    <s v="Si"/>
    <n v="32"/>
    <s v="111-15"/>
    <s v="N.A"/>
    <x v="26"/>
    <s v="N.A"/>
    <n v="90101604"/>
    <x v="29"/>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n v="2000000"/>
    <m/>
    <n v="2000000"/>
    <m/>
    <n v="2000000"/>
    <m/>
    <m/>
    <n v="0"/>
    <n v="6000000"/>
    <n v="-6000000"/>
    <n v="10000000"/>
    <n v="4000000"/>
  </r>
  <r>
    <x v="1"/>
    <x v="0"/>
    <s v="N.A"/>
    <s v="Si"/>
    <s v="75 (30/12/2024)"/>
    <s v="111-16"/>
    <s v="N.A"/>
    <x v="26"/>
    <s v="N.A"/>
    <s v="84131607;84131500"/>
    <x v="30"/>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m/>
    <m/>
    <n v="2500000"/>
    <n v="2500000"/>
    <n v="0"/>
    <n v="0"/>
    <n v="0"/>
  </r>
  <r>
    <x v="1"/>
    <x v="0"/>
    <s v="N.A"/>
    <s v="Si"/>
    <s v="75 (30/12/2024)"/>
    <s v="111-17"/>
    <s v="N.A"/>
    <x v="26"/>
    <s v="N.A"/>
    <s v="84131501;84131607;84131514;84131500;84131603"/>
    <x v="30"/>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m/>
    <m/>
    <n v="0"/>
    <n v="0"/>
    <n v="0"/>
    <n v="300000000"/>
    <n v="300000000"/>
  </r>
  <r>
    <x v="1"/>
    <x v="0"/>
    <s v="N.A"/>
    <s v="Si"/>
    <n v="30"/>
    <s v="111-18"/>
    <s v="N.A"/>
    <x v="26"/>
    <s v="N.A"/>
    <s v="84131607;84131500"/>
    <x v="30"/>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r>
  <r>
    <x v="1"/>
    <x v="0"/>
    <s v="N.A"/>
    <s v="Si"/>
    <s v="75 (30/12/2024)"/>
    <s v="111-19"/>
    <s v="N.A"/>
    <x v="26"/>
    <s v="N.A"/>
    <n v="15101506"/>
    <x v="31"/>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n v="1272727"/>
    <m/>
    <n v="1272727"/>
    <m/>
    <n v="1272730"/>
    <m/>
    <m/>
    <n v="0"/>
    <n v="3818184"/>
    <n v="-3818184"/>
    <n v="14000000"/>
    <n v="10181816"/>
  </r>
  <r>
    <x v="1"/>
    <x v="0"/>
    <s v="N.A"/>
    <s v="Si"/>
    <s v="75 (30/12/2024)"/>
    <s v="111-20"/>
    <s v="N.A"/>
    <x v="26"/>
    <s v="N.A"/>
    <n v="80111707"/>
    <x v="32"/>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m/>
    <m/>
    <n v="0"/>
    <n v="3000000"/>
    <n v="-3000000"/>
    <n v="9000000"/>
    <n v="6000000"/>
  </r>
  <r>
    <x v="1"/>
    <x v="0"/>
    <s v="N.A"/>
    <s v="Si"/>
    <n v="47"/>
    <s v="111-21"/>
    <s v="N.A"/>
    <x v="26"/>
    <s v="N.A"/>
    <n v="45101515"/>
    <x v="33"/>
    <s v="Adquisición de bienes y/o servicios (otros)"/>
    <s v="111-21 Adquisición de Activos Fijos"/>
    <s v="Abril"/>
    <s v="Abril"/>
    <s v="Abril"/>
    <n v="8"/>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m/>
    <m/>
    <n v="0"/>
    <n v="0"/>
    <n v="0"/>
    <n v="15386700"/>
    <n v="15386700"/>
  </r>
  <r>
    <x v="1"/>
    <x v="0"/>
    <s v="N.A"/>
    <s v="Si"/>
    <n v="19"/>
    <s v="111-22"/>
    <s v="N.A"/>
    <x v="26"/>
    <s v="N.A"/>
    <n v="81112501"/>
    <x v="3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m/>
    <m/>
    <n v="2842125"/>
    <n v="2842125"/>
    <n v="0"/>
    <n v="0"/>
    <n v="0"/>
  </r>
  <r>
    <x v="1"/>
    <x v="0"/>
    <s v="N.A"/>
    <s v="Si"/>
    <s v="75 (30/12/2024)"/>
    <s v="111-23"/>
    <s v="N.A"/>
    <x v="26"/>
    <s v="N.A"/>
    <n v="44121600"/>
    <x v="25"/>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m/>
    <m/>
    <n v="0"/>
    <n v="0"/>
    <n v="0"/>
    <n v="12000000"/>
    <n v="12000000"/>
  </r>
  <r>
    <x v="1"/>
    <x v="0"/>
    <s v="N.A"/>
    <s v="Si"/>
    <s v="75 (30/12/2024)"/>
    <s v="111-24"/>
    <s v="N.A"/>
    <x v="26"/>
    <s v="N.A"/>
    <n v="85101503"/>
    <x v="35"/>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m/>
    <m/>
    <n v="35000000"/>
    <n v="35000000"/>
    <n v="0"/>
    <n v="0"/>
    <n v="0"/>
  </r>
  <r>
    <x v="1"/>
    <x v="0"/>
    <s v="N.A"/>
    <s v="Si"/>
    <s v="75 (30/12/2024)"/>
    <s v="111-25"/>
    <s v="N.A"/>
    <x v="26"/>
    <s v="N.A"/>
    <n v="85122201"/>
    <x v="35"/>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n v="1600000"/>
    <m/>
    <n v="1600000"/>
    <m/>
    <n v="1007488"/>
    <m/>
    <m/>
    <n v="0"/>
    <n v="4207488"/>
    <n v="-4207488"/>
    <n v="17292512"/>
    <n v="13085024"/>
  </r>
  <r>
    <x v="1"/>
    <x v="0"/>
    <s v="N.A"/>
    <s v="Si"/>
    <n v="12"/>
    <s v="111-26"/>
    <s v="N.A"/>
    <x v="26"/>
    <s v="N.A"/>
    <n v="93141506"/>
    <x v="3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n v="8550000"/>
    <m/>
    <n v="8550000"/>
    <m/>
    <n v="105200000"/>
    <m/>
    <m/>
    <n v="0"/>
    <n v="122300000"/>
    <n v="-122300000"/>
    <n v="263000000"/>
    <n v="140700000"/>
  </r>
  <r>
    <x v="1"/>
    <x v="0"/>
    <s v="N.A"/>
    <s v="Si"/>
    <s v="75 (30/12/2024)"/>
    <s v="111-27"/>
    <s v="N.A"/>
    <x v="26"/>
    <s v="N.A"/>
    <n v="42172001"/>
    <x v="37"/>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n v="1463000"/>
    <m/>
    <n v="1463000"/>
    <m/>
    <m/>
    <m/>
    <m/>
    <n v="0"/>
    <n v="2926000"/>
    <n v="-2926000"/>
    <n v="4389000"/>
    <n v="1463000"/>
  </r>
  <r>
    <x v="1"/>
    <x v="0"/>
    <s v="N.A"/>
    <s v="Si"/>
    <n v="18"/>
    <s v="111-28"/>
    <s v="N.A"/>
    <x v="26"/>
    <s v="N.A"/>
    <n v="80111620"/>
    <x v="38"/>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m/>
    <m/>
    <n v="0"/>
    <n v="0"/>
    <n v="0"/>
    <n v="20180280"/>
    <n v="20180280"/>
  </r>
  <r>
    <x v="1"/>
    <x v="0"/>
    <s v="N.A"/>
    <s v="Si"/>
    <s v="75 (30/12/2024)"/>
    <s v="111-29"/>
    <s v="N.A"/>
    <x v="26"/>
    <s v="N.A"/>
    <n v="80111620"/>
    <x v="38"/>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5525040"/>
    <n v="85525040"/>
    <s v="No"/>
    <s v="N/A"/>
    <s v="Hollman Corredor"/>
    <s v="Coordinador GIT Gestión Financiera"/>
    <n v="6012220601"/>
    <s v="hollman.corredor@upme.gov.co"/>
    <n v="73668000"/>
    <m/>
    <m/>
    <m/>
    <m/>
    <m/>
    <m/>
    <m/>
    <m/>
    <m/>
    <m/>
    <m/>
    <m/>
    <m/>
    <m/>
    <m/>
    <m/>
    <m/>
    <m/>
    <n v="7436960"/>
    <m/>
    <n v="7436960"/>
    <m/>
    <n v="14873860"/>
    <m/>
    <m/>
    <n v="73668000"/>
    <n v="29747780"/>
    <n v="43920220"/>
    <n v="11857040"/>
    <n v="55777260"/>
  </r>
  <r>
    <x v="1"/>
    <x v="0"/>
    <s v="N.A"/>
    <s v="Si"/>
    <s v="75 (30/12/2024)"/>
    <s v="111-30"/>
    <s v="N.A"/>
    <x v="26"/>
    <s v="N.A"/>
    <n v="80111620"/>
    <x v="38"/>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n v="8000000"/>
    <m/>
    <n v="8000000"/>
    <m/>
    <n v="16000000"/>
    <m/>
    <m/>
    <n v="0"/>
    <n v="32000000"/>
    <n v="-32000000"/>
    <n v="90933333"/>
    <n v="58933333"/>
  </r>
  <r>
    <x v="1"/>
    <x v="0"/>
    <s v="N.A"/>
    <s v="Si"/>
    <s v="75 (30/12/2024)"/>
    <s v="111-31"/>
    <s v="N.A"/>
    <x v="26"/>
    <s v="N.A"/>
    <n v="85101508"/>
    <x v="35"/>
    <s v="Adquisición de bienes y/o servicios (otros)"/>
    <s v="111-31 Prestar los servicios profesionales de Servicio de Área Protegida (SAP) para todas las personas que se encuentren en las instalaciones de la Unidad de Planeación Minero Energética en el caso de presentarse una emergencia y/o urgencia como parte del"/>
    <s v="Julio"/>
    <s v="Julio"/>
    <s v="Agosto"/>
    <n v="4"/>
    <s v="Meses"/>
    <s v="Contratación directa - Contratos menor cuantía"/>
    <s v="Propios - 20 - Ingresos corrientes"/>
    <n v="6210000"/>
    <n v="6210000"/>
    <s v="No"/>
    <s v="N/A"/>
    <s v="Liliana Castillo"/>
    <s v="Coordinadora GIT Gestión del Talento Humano"/>
    <n v="6012220601"/>
    <s v="liliana.castillo@upme.gov.co"/>
    <m/>
    <m/>
    <m/>
    <m/>
    <m/>
    <m/>
    <m/>
    <m/>
    <m/>
    <m/>
    <m/>
    <m/>
    <m/>
    <m/>
    <m/>
    <m/>
    <m/>
    <m/>
    <m/>
    <n v="1552500"/>
    <m/>
    <n v="1552500"/>
    <m/>
    <n v="1552500"/>
    <m/>
    <m/>
    <n v="0"/>
    <n v="4657500"/>
    <n v="-4657500"/>
    <n v="6210000"/>
    <n v="1552500"/>
  </r>
  <r>
    <x v="1"/>
    <x v="0"/>
    <s v="N.A"/>
    <s v="Si"/>
    <s v="75 (30/12/2024)"/>
    <s v="111-32"/>
    <s v="N.A"/>
    <x v="26"/>
    <s v="N.A"/>
    <n v="80111620"/>
    <x v="38"/>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m/>
    <m/>
    <n v="0"/>
    <n v="0"/>
    <n v="0"/>
    <n v="29921047"/>
    <n v="29921047"/>
  </r>
  <r>
    <x v="1"/>
    <x v="0"/>
    <s v="N.A"/>
    <s v="Si"/>
    <n v="18"/>
    <s v="111-33"/>
    <s v="N.A"/>
    <x v="26"/>
    <s v="N.A"/>
    <n v="80111620"/>
    <x v="38"/>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n v="8017840"/>
    <m/>
    <n v="8017840"/>
    <m/>
    <n v="16035680"/>
    <m/>
    <m/>
    <n v="0"/>
    <n v="32071360"/>
    <n v="-32071360"/>
    <n v="90334331"/>
    <n v="58262971"/>
  </r>
  <r>
    <x v="1"/>
    <x v="0"/>
    <s v="N.A"/>
    <s v="Si"/>
    <n v="18"/>
    <s v="111-34"/>
    <s v="N.A"/>
    <x v="26"/>
    <s v="N.A"/>
    <n v="72121103"/>
    <x v="39"/>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m/>
    <m/>
    <n v="0"/>
    <n v="0"/>
    <n v="0"/>
    <n v="212000000"/>
    <n v="212000000"/>
  </r>
  <r>
    <x v="1"/>
    <x v="0"/>
    <s v="N.A"/>
    <s v="Si"/>
    <s v="75 (30/12/2024)"/>
    <s v="111-35"/>
    <s v="N.A"/>
    <x v="26"/>
    <s v="N.A"/>
    <n v="80131500"/>
    <x v="26"/>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n v="7000000"/>
    <m/>
    <n v="7000000"/>
    <m/>
    <n v="7000000"/>
    <m/>
    <m/>
    <n v="0"/>
    <n v="21000000"/>
    <n v="-21000000"/>
    <n v="70000000"/>
    <n v="49000000"/>
  </r>
  <r>
    <x v="1"/>
    <x v="0"/>
    <s v="N.A"/>
    <s v="Si"/>
    <n v="18"/>
    <s v="111-36"/>
    <s v="N.A"/>
    <x v="26"/>
    <s v="N.A"/>
    <n v="80111620"/>
    <x v="38"/>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n v="9000000"/>
    <m/>
    <n v="9000000"/>
    <m/>
    <n v="18000000"/>
    <m/>
    <m/>
    <n v="0"/>
    <n v="36000000"/>
    <n v="-36000000"/>
    <n v="100200000"/>
    <n v="64200000"/>
  </r>
  <r>
    <x v="1"/>
    <x v="0"/>
    <s v="N.A"/>
    <s v="Si"/>
    <n v="6"/>
    <s v="111-37"/>
    <s v="N.A"/>
    <x v="26"/>
    <s v="N.A"/>
    <n v="80111620"/>
    <x v="40"/>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m/>
    <m/>
    <n v="0"/>
    <n v="24823939"/>
    <n v="-24823939"/>
    <n v="82743939"/>
    <n v="57920000"/>
  </r>
  <r>
    <x v="1"/>
    <x v="0"/>
    <s v="N.A"/>
    <s v="Si"/>
    <n v="35"/>
    <s v="111-38"/>
    <s v="N.A"/>
    <x v="26"/>
    <s v="N.A"/>
    <n v="80111620"/>
    <x v="40"/>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m/>
    <m/>
    <n v="0"/>
    <n v="14170000"/>
    <n v="-14170000"/>
    <n v="14170000"/>
    <n v="0"/>
  </r>
  <r>
    <x v="1"/>
    <x v="0"/>
    <s v="N.A"/>
    <s v="Si"/>
    <n v="6"/>
    <s v="111-39"/>
    <s v="N.A"/>
    <x v="26"/>
    <s v="N.A"/>
    <n v="80111620"/>
    <x v="40"/>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n v="22756913"/>
    <m/>
    <m/>
    <m/>
    <m/>
    <n v="0"/>
    <n v="22756913"/>
    <n v="-22756913"/>
    <n v="113784561"/>
    <n v="91027648"/>
  </r>
  <r>
    <x v="1"/>
    <x v="0"/>
    <s v="N.A"/>
    <s v="Si"/>
    <n v="32"/>
    <s v="111-40"/>
    <s v="N.A"/>
    <x v="26"/>
    <s v="N.A"/>
    <n v="80111620"/>
    <x v="41"/>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m/>
    <m/>
    <n v="0"/>
    <n v="0"/>
    <n v="0"/>
    <n v="11155440"/>
    <n v="11155440"/>
  </r>
  <r>
    <x v="1"/>
    <x v="0"/>
    <s v="N.A"/>
    <s v="Si"/>
    <n v="47"/>
    <s v="111-41"/>
    <s v="N.A"/>
    <x v="26"/>
    <s v="N.A"/>
    <n v="81112501"/>
    <x v="34"/>
    <s v="Adquisición de bienes y/o servicios (otros)"/>
    <s v="111-41 Contratar el servicio de enlace dedicado a internet para la UPME"/>
    <s v="Abril"/>
    <s v="Abril"/>
    <s v="Abril"/>
    <n v="7"/>
    <s v="Meses"/>
    <s v="Contratación directa"/>
    <s v="Propios - 20 - Ingresos corrientes"/>
    <n v="12016849"/>
    <n v="12016849"/>
    <s v="No"/>
    <s v="N/A"/>
    <s v="Nicolas Mejía"/>
    <s v="Coordinador GIT Gestion Administrativa"/>
    <n v="6012220601"/>
    <s v="oscar.mejia@upme.gov.co"/>
    <m/>
    <m/>
    <m/>
    <m/>
    <m/>
    <m/>
    <m/>
    <m/>
    <m/>
    <m/>
    <m/>
    <m/>
    <m/>
    <m/>
    <m/>
    <m/>
    <m/>
    <m/>
    <m/>
    <n v="1759410"/>
    <m/>
    <n v="1759410"/>
    <m/>
    <n v="1759413"/>
    <m/>
    <m/>
    <n v="0"/>
    <n v="5278233"/>
    <n v="-5278233"/>
    <n v="12016849"/>
    <n v="6738616"/>
  </r>
  <r>
    <x v="1"/>
    <x v="0"/>
    <s v="N.A"/>
    <s v="Si"/>
    <n v="30"/>
    <s v="111-42"/>
    <s v="N.A"/>
    <x v="26"/>
    <s v="N.A"/>
    <n v="80111600"/>
    <x v="38"/>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n v="6226500"/>
    <m/>
    <n v="6226500"/>
    <m/>
    <n v="12453000"/>
    <m/>
    <m/>
    <n v="0"/>
    <n v="24906000"/>
    <n v="-24906000"/>
    <n v="37359000"/>
    <n v="12453000"/>
  </r>
  <r>
    <x v="1"/>
    <x v="0"/>
    <s v="N.A"/>
    <s v="Si"/>
    <n v="32"/>
    <s v="111-43"/>
    <s v="N.A"/>
    <x v="26"/>
    <s v="N.A"/>
    <n v="80111620"/>
    <x v="38"/>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n v="3996300"/>
    <m/>
    <n v="3996300"/>
    <m/>
    <n v="7992600"/>
    <m/>
    <m/>
    <n v="0"/>
    <n v="15985200"/>
    <n v="-15985200"/>
    <n v="23977800"/>
    <n v="7992600"/>
  </r>
  <r>
    <x v="1"/>
    <x v="0"/>
    <s v="N.A"/>
    <s v="Si"/>
    <n v="32"/>
    <s v="111-44"/>
    <s v="N.A"/>
    <x v="26"/>
    <s v="N.A"/>
    <n v="80111620"/>
    <x v="38"/>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n v="3996300"/>
    <m/>
    <n v="3996300"/>
    <m/>
    <n v="7992600"/>
    <m/>
    <m/>
    <n v="0"/>
    <n v="15985200"/>
    <n v="-15985200"/>
    <n v="23977800"/>
    <n v="7992600"/>
  </r>
  <r>
    <x v="1"/>
    <x v="0"/>
    <s v="N.A"/>
    <s v="Si"/>
    <n v="32"/>
    <s v="111-45"/>
    <s v="N.A"/>
    <x v="26"/>
    <s v="N.A"/>
    <n v="80111620"/>
    <x v="38"/>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n v="6226500"/>
    <m/>
    <n v="6226500"/>
    <m/>
    <n v="12453000"/>
    <m/>
    <m/>
    <n v="0"/>
    <n v="24906000"/>
    <n v="-24906000"/>
    <n v="37359000"/>
    <n v="12453000"/>
  </r>
  <r>
    <x v="1"/>
    <x v="0"/>
    <s v="N.A"/>
    <s v="Si"/>
    <n v="37"/>
    <s v="111-46"/>
    <s v="N.A"/>
    <x v="26"/>
    <s v="N.A"/>
    <n v="80111620"/>
    <x v="38"/>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m/>
    <m/>
    <n v="0"/>
    <n v="0"/>
    <n v="0"/>
    <n v="33208000"/>
    <n v="33208000"/>
  </r>
  <r>
    <x v="1"/>
    <x v="0"/>
    <s v="N.A"/>
    <s v="Si"/>
    <n v="33"/>
    <s v="111-47"/>
    <s v="N.A"/>
    <x v="26"/>
    <s v="N.A"/>
    <n v="80111620"/>
    <x v="4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m/>
    <m/>
    <n v="0"/>
    <n v="0"/>
    <n v="0"/>
    <n v="35537600"/>
    <n v="35537600"/>
  </r>
  <r>
    <x v="1"/>
    <x v="0"/>
    <s v="N.A"/>
    <s v="Si"/>
    <n v="35"/>
    <s v="111-48"/>
    <s v="N.A"/>
    <x v="26"/>
    <s v="N.A"/>
    <n v="80111620"/>
    <x v="38"/>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m/>
    <m/>
    <n v="0"/>
    <n v="0"/>
    <n v="0"/>
    <n v="11676000"/>
    <n v="11676000"/>
  </r>
  <r>
    <x v="1"/>
    <x v="0"/>
    <s v="N.A"/>
    <s v="Si"/>
    <n v="35"/>
    <s v="111-49"/>
    <s v="N.A"/>
    <x v="26"/>
    <s v="N.A"/>
    <n v="80111620"/>
    <x v="38"/>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m/>
    <m/>
    <n v="0"/>
    <n v="0"/>
    <n v="0"/>
    <n v="28700000"/>
    <n v="28700000"/>
  </r>
  <r>
    <x v="1"/>
    <x v="0"/>
    <s v="N.A"/>
    <s v="Si"/>
    <n v="43"/>
    <s v="111-50"/>
    <s v="N.A"/>
    <x v="26"/>
    <s v="N.A"/>
    <n v="80111620"/>
    <x v="38"/>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m/>
    <m/>
    <n v="0"/>
    <n v="0"/>
    <n v="0"/>
    <n v="0"/>
    <n v="0"/>
  </r>
  <r>
    <x v="1"/>
    <x v="0"/>
    <s v="N.A"/>
    <s v="Si"/>
    <n v="37"/>
    <s v="111-51"/>
    <s v="N.A"/>
    <x v="26"/>
    <s v="N.A"/>
    <n v="80111620"/>
    <x v="38"/>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16422250"/>
    <n v="16422250"/>
    <s v="No"/>
    <s v="N/A"/>
    <s v="Nicolas Mejía"/>
    <s v="Coordinador GIT Gestion Administrativa"/>
    <n v="6012220601"/>
    <s v="oscar.mejia@upme.gov.co"/>
    <m/>
    <m/>
    <m/>
    <m/>
    <m/>
    <m/>
    <m/>
    <m/>
    <m/>
    <m/>
    <m/>
    <m/>
    <m/>
    <m/>
    <m/>
    <m/>
    <m/>
    <m/>
    <m/>
    <m/>
    <m/>
    <m/>
    <m/>
    <m/>
    <m/>
    <m/>
    <n v="0"/>
    <n v="0"/>
    <n v="0"/>
    <n v="16422250"/>
    <n v="16422250"/>
  </r>
  <r>
    <x v="1"/>
    <x v="0"/>
    <s v="N.A"/>
    <s v="Si"/>
    <n v="44"/>
    <s v="111-52"/>
    <s v="N.A"/>
    <x v="26"/>
    <s v="N.A"/>
    <n v="80111620"/>
    <x v="38"/>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m/>
    <m/>
    <n v="0"/>
    <n v="0"/>
    <n v="0"/>
    <n v="0"/>
    <n v="0"/>
  </r>
  <r>
    <x v="1"/>
    <x v="0"/>
    <s v="N.A"/>
    <s v="Si"/>
    <n v="44"/>
    <s v="111-53"/>
    <s v="N.A"/>
    <x v="26"/>
    <s v="N.A"/>
    <n v="80101126"/>
    <x v="38"/>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m/>
    <m/>
    <n v="0"/>
    <n v="0"/>
    <n v="0"/>
    <n v="14894040"/>
    <n v="14894040"/>
  </r>
  <r>
    <x v="1"/>
    <x v="0"/>
    <s v="N.A"/>
    <s v="Si"/>
    <n v="44"/>
    <s v="111-54"/>
    <s v="N.A"/>
    <x v="26"/>
    <s v="N.A"/>
    <n v="80101126"/>
    <x v="38"/>
    <s v="Prestación de servicios profesionales y/o de apoyo a la gestión"/>
    <s v="111-54 Prestar los servicios de apoyo a la gestión para el desarrollo de actividades enmarcadas en el cumplimiento del Plan de Bienestar y Seguridad y Salud en el trabajo."/>
    <s v="Septiembre"/>
    <s v="Septiembre"/>
    <s v="Septiembre"/>
    <n v="3.5"/>
    <s v="Meses"/>
    <s v="Contratación directa"/>
    <s v="Propios - 20 - Ingresos corrientes"/>
    <n v="6383475"/>
    <n v="6383475"/>
    <s v="No"/>
    <s v="N/A"/>
    <s v="Katherine Perez"/>
    <s v="Coordinador GIT Talento humano"/>
    <n v="6012220601"/>
    <s v="katherin.perez@upme.gov.co"/>
    <m/>
    <m/>
    <m/>
    <m/>
    <m/>
    <m/>
    <m/>
    <m/>
    <m/>
    <m/>
    <m/>
    <m/>
    <m/>
    <m/>
    <m/>
    <m/>
    <m/>
    <m/>
    <m/>
    <m/>
    <m/>
    <m/>
    <m/>
    <m/>
    <m/>
    <m/>
    <n v="0"/>
    <n v="0"/>
    <n v="0"/>
    <n v="6383475"/>
    <n v="6383475"/>
  </r>
  <r>
    <x v="1"/>
    <x v="0"/>
    <s v="N.A"/>
    <s v="Si"/>
    <n v="44"/>
    <s v="111-55"/>
    <s v="N.A"/>
    <x v="26"/>
    <s v="N.A"/>
    <n v="80111620"/>
    <x v="38"/>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m/>
    <m/>
    <n v="0"/>
    <n v="0"/>
    <n v="0"/>
    <n v="21000000"/>
    <n v="21000000"/>
  </r>
  <r>
    <x v="1"/>
    <x v="8"/>
    <s v="N.A"/>
    <s v="Si"/>
    <s v="75 (30/12/2024)"/>
    <s v="161-1"/>
    <s v="N.A"/>
    <x v="26"/>
    <s v="N.A"/>
    <n v="80111620"/>
    <x v="41"/>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n v="7942200"/>
    <m/>
    <n v="7942200"/>
    <m/>
    <n v="15884400"/>
    <m/>
    <m/>
    <n v="0"/>
    <n v="31768800"/>
    <n v="-31768800"/>
    <n v="91335300"/>
    <n v="59566500"/>
  </r>
  <r>
    <x v="1"/>
    <x v="8"/>
    <s v="N.A"/>
    <s v="Si"/>
    <s v="75 (30/12/2024)"/>
    <s v="161-2"/>
    <s v="N.A"/>
    <x v="26"/>
    <s v="N.A"/>
    <n v="80111620"/>
    <x v="41"/>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n v="7942200"/>
    <m/>
    <n v="7942200"/>
    <m/>
    <n v="15884400"/>
    <m/>
    <m/>
    <n v="0"/>
    <n v="31768800"/>
    <n v="-31768800"/>
    <n v="91335300"/>
    <n v="59566500"/>
  </r>
  <r>
    <x v="1"/>
    <x v="8"/>
    <s v="N.A"/>
    <s v="Si"/>
    <s v="75 (30/12/2024)"/>
    <s v="161-3"/>
    <s v="N.A"/>
    <x v="26"/>
    <s v="N.A"/>
    <n v="80111620"/>
    <x v="41"/>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n v="6226500"/>
    <m/>
    <n v="6226500"/>
    <m/>
    <n v="12453000"/>
    <m/>
    <m/>
    <n v="0"/>
    <n v="24906000"/>
    <n v="-24906000"/>
    <n v="65378250"/>
    <n v="40472250"/>
  </r>
  <r>
    <x v="1"/>
    <x v="8"/>
    <s v="N.A"/>
    <s v="Si"/>
    <s v="75 (30/12/2024)"/>
    <s v="161-4"/>
    <s v="N.A"/>
    <x v="26"/>
    <s v="N.A"/>
    <n v="80111620"/>
    <x v="41"/>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m/>
    <m/>
    <n v="0"/>
    <n v="0"/>
    <n v="0"/>
    <n v="20748000"/>
    <n v="20748000"/>
  </r>
  <r>
    <x v="1"/>
    <x v="8"/>
    <s v="N.A"/>
    <s v="Si"/>
    <s v="75 (30/12/2024)"/>
    <s v="161-5"/>
    <s v="N.A"/>
    <x v="26"/>
    <s v="N.A"/>
    <n v="80111620"/>
    <x v="41"/>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4380600"/>
    <m/>
    <m/>
    <n v="0"/>
    <n v="10951500"/>
    <n v="-10951500"/>
    <n v="36139950"/>
    <n v="25188450"/>
  </r>
  <r>
    <x v="1"/>
    <x v="8"/>
    <s v="N.A"/>
    <s v="Si"/>
    <s v="75 (30/12/2024)"/>
    <s v="161-6"/>
    <s v="N.A"/>
    <x v="26"/>
    <s v="N.A"/>
    <n v="80111620"/>
    <x v="41"/>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6570900"/>
    <m/>
    <m/>
    <n v="0"/>
    <n v="13141800"/>
    <n v="-13141800"/>
    <n v="36139950"/>
    <n v="22998150"/>
  </r>
  <r>
    <x v="1"/>
    <x v="8"/>
    <s v="N.A"/>
    <s v="Si"/>
    <n v="41"/>
    <s v="161-7"/>
    <s v="N.A"/>
    <x v="26"/>
    <s v="N.A"/>
    <n v="80111620"/>
    <x v="41"/>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n v="3285450"/>
    <m/>
    <n v="3285450"/>
    <m/>
    <n v="4928175"/>
    <m/>
    <m/>
    <n v="0"/>
    <n v="11499075"/>
    <n v="-11499075"/>
    <n v="39691540"/>
    <n v="28192465"/>
  </r>
  <r>
    <x v="1"/>
    <x v="8"/>
    <s v="N.A"/>
    <s v="Si"/>
    <s v="75 (30/12/2024)"/>
    <s v="161-8"/>
    <s v="N.A"/>
    <x v="26"/>
    <s v="N.A"/>
    <n v="80111620"/>
    <x v="41"/>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6570900"/>
    <m/>
    <m/>
    <n v="0"/>
    <n v="13141800"/>
    <n v="-13141800"/>
    <n v="36139950"/>
    <n v="22998150"/>
  </r>
  <r>
    <x v="1"/>
    <x v="8"/>
    <s v="N.A"/>
    <s v="Si"/>
    <n v="41"/>
    <s v="161-9"/>
    <s v="N.A"/>
    <x v="26"/>
    <s v="N.A"/>
    <n v="80111620"/>
    <x v="41"/>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n v="3285450"/>
    <m/>
    <n v="3285450"/>
    <m/>
    <n v="6570900"/>
    <m/>
    <m/>
    <n v="0"/>
    <n v="13141800"/>
    <n v="-13141800"/>
    <n v="37939300"/>
    <n v="24797500"/>
  </r>
  <r>
    <x v="1"/>
    <x v="8"/>
    <s v="N.A"/>
    <s v="Si"/>
    <s v="75 (30/12/2024)"/>
    <s v="161-10"/>
    <s v="N.A"/>
    <x v="26"/>
    <s v="N.A"/>
    <n v="80111620"/>
    <x v="41"/>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6570900"/>
    <m/>
    <m/>
    <n v="0"/>
    <n v="13141800"/>
    <n v="-13141800"/>
    <n v="36139950"/>
    <n v="22998150"/>
  </r>
  <r>
    <x v="1"/>
    <x v="8"/>
    <s v="N.A"/>
    <s v="Si"/>
    <n v="41"/>
    <s v="161-11"/>
    <s v="N.A"/>
    <x v="26"/>
    <s v="N.A"/>
    <n v="80111620"/>
    <x v="41"/>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n v="3285450"/>
    <m/>
    <n v="3285450"/>
    <m/>
    <n v="6570900"/>
    <m/>
    <m/>
    <n v="0"/>
    <n v="13141800"/>
    <n v="-13141800"/>
    <n v="37939300"/>
    <n v="24797500"/>
  </r>
  <r>
    <x v="1"/>
    <x v="8"/>
    <s v="N.A"/>
    <s v="Si"/>
    <s v="75 (30/12/2024)"/>
    <s v="161-12"/>
    <s v="N.A"/>
    <x v="26"/>
    <s v="N.A"/>
    <n v="80111620"/>
    <x v="41"/>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n v="3630900"/>
    <m/>
    <n v="3630900"/>
    <m/>
    <n v="7261800"/>
    <m/>
    <m/>
    <n v="0"/>
    <n v="14523600"/>
    <n v="-14523600"/>
    <n v="39939900"/>
    <n v="25416300"/>
  </r>
  <r>
    <x v="1"/>
    <x v="8"/>
    <s v="N.A"/>
    <s v="Si"/>
    <s v="75 (30/12/2024)"/>
    <s v="161-13"/>
    <s v="N.A"/>
    <x v="26"/>
    <s v="N.A"/>
    <n v="80111620"/>
    <x v="41"/>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n v="3630900"/>
    <m/>
    <n v="3630900"/>
    <m/>
    <n v="7261800"/>
    <m/>
    <m/>
    <n v="0"/>
    <n v="14523600"/>
    <n v="-14523600"/>
    <n v="39939900"/>
    <n v="25416300"/>
  </r>
  <r>
    <x v="1"/>
    <x v="8"/>
    <s v="N.A"/>
    <s v="Si"/>
    <n v="26"/>
    <s v="161-14"/>
    <s v="N.A"/>
    <x v="26"/>
    <s v="N.A"/>
    <n v="80111620"/>
    <x v="41"/>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n v="3285450"/>
    <m/>
    <n v="3285450"/>
    <m/>
    <n v="6823635"/>
    <m/>
    <m/>
    <n v="0"/>
    <n v="13394535"/>
    <n v="-13394535"/>
    <n v="23579430"/>
    <n v="10184895"/>
  </r>
  <r>
    <x v="1"/>
    <x v="8"/>
    <s v="N.A"/>
    <s v="Si"/>
    <n v="26"/>
    <s v="161-15"/>
    <s v="N.A"/>
    <x v="26"/>
    <s v="N.A"/>
    <n v="80111620"/>
    <x v="41"/>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n v="3285450"/>
    <m/>
    <n v="3285450"/>
    <m/>
    <n v="6570900"/>
    <m/>
    <m/>
    <n v="0"/>
    <n v="13141800"/>
    <n v="-13141800"/>
    <n v="23326695"/>
    <n v="10184895"/>
  </r>
  <r>
    <x v="1"/>
    <x v="8"/>
    <s v="N.A"/>
    <s v="Si"/>
    <n v="26"/>
    <s v="161-16"/>
    <s v="N.A"/>
    <x v="26"/>
    <s v="N.A"/>
    <n v="80111620"/>
    <x v="41"/>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n v="3285450"/>
    <m/>
    <n v="3285450"/>
    <m/>
    <n v="6570900"/>
    <m/>
    <m/>
    <n v="0"/>
    <n v="13141800"/>
    <n v="-13141800"/>
    <n v="23326695"/>
    <n v="10184895"/>
  </r>
  <r>
    <x v="1"/>
    <x v="8"/>
    <s v="N.A"/>
    <s v="Si"/>
    <n v="42"/>
    <s v="161-17"/>
    <s v="N.A"/>
    <x v="26"/>
    <s v="N.A"/>
    <n v="80111620"/>
    <x v="41"/>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n v="4374300"/>
    <m/>
    <n v="4374300"/>
    <m/>
    <n v="8748600"/>
    <m/>
    <m/>
    <n v="48117300"/>
    <n v="17497200"/>
    <n v="30620100"/>
    <n v="1020670"/>
    <n v="31640770"/>
  </r>
  <r>
    <x v="1"/>
    <x v="8"/>
    <s v="N.A"/>
    <s v="Si"/>
    <n v="41"/>
    <s v="161-18"/>
    <s v="N.A"/>
    <x v="26"/>
    <s v="N.A"/>
    <n v="80111620"/>
    <x v="41"/>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n v="4374300"/>
    <m/>
    <n v="4374300"/>
    <m/>
    <n v="5832400"/>
    <m/>
    <m/>
    <n v="0"/>
    <n v="14581000"/>
    <n v="-14581000"/>
    <n v="53483220"/>
    <n v="38902220"/>
  </r>
  <r>
    <x v="1"/>
    <x v="8"/>
    <s v="N.A"/>
    <s v="Si"/>
    <n v="42"/>
    <s v="161-19"/>
    <s v="N.A"/>
    <x v="26"/>
    <s v="N.A"/>
    <n v="80111620"/>
    <x v="41"/>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n v="4374300"/>
    <m/>
    <n v="4374300"/>
    <m/>
    <n v="8748600"/>
    <m/>
    <m/>
    <n v="0"/>
    <n v="17497200"/>
    <n v="-17497200"/>
    <n v="47534060"/>
    <n v="30036860"/>
  </r>
  <r>
    <x v="1"/>
    <x v="8"/>
    <s v="N.A"/>
    <s v="Si"/>
    <n v="42"/>
    <s v="161-20"/>
    <s v="N.A"/>
    <x v="26"/>
    <s v="N.A"/>
    <n v="80111620"/>
    <x v="41"/>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n v="6663300"/>
    <m/>
    <n v="6663300"/>
    <m/>
    <n v="13326600"/>
    <m/>
    <m/>
    <n v="73296300"/>
    <n v="26653200"/>
    <n v="46643100"/>
    <n v="1554770"/>
    <n v="48197870"/>
  </r>
  <r>
    <x v="1"/>
    <x v="8"/>
    <s v="N.A"/>
    <s v="Si"/>
    <n v="42"/>
    <s v="161-21"/>
    <s v="N.A"/>
    <x v="26"/>
    <s v="N.A"/>
    <n v="80111620"/>
    <x v="41"/>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n v="6663300"/>
    <m/>
    <n v="6663300"/>
    <m/>
    <n v="13326600"/>
    <m/>
    <m/>
    <n v="73296300"/>
    <n v="26653200"/>
    <n v="46643100"/>
    <n v="1554770"/>
    <n v="48197870"/>
  </r>
  <r>
    <x v="1"/>
    <x v="8"/>
    <s v="N.A"/>
    <s v="Si"/>
    <n v="42"/>
    <s v="161-22"/>
    <s v="N.A"/>
    <x v="26"/>
    <s v="N.A"/>
    <n v="80111620"/>
    <x v="41"/>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034800"/>
    <m/>
    <m/>
    <m/>
    <m/>
    <m/>
    <m/>
    <m/>
    <m/>
    <m/>
    <m/>
    <m/>
    <m/>
    <m/>
    <m/>
    <m/>
    <m/>
    <m/>
    <m/>
    <n v="7366800"/>
    <m/>
    <n v="7366800"/>
    <m/>
    <n v="14733600"/>
    <m/>
    <m/>
    <n v="8034800"/>
    <n v="29467200"/>
    <n v="-21432400"/>
    <n v="74964480"/>
    <n v="53532080"/>
  </r>
  <r>
    <x v="1"/>
    <x v="8"/>
    <s v="N.A"/>
    <s v="Si"/>
    <n v="42"/>
    <s v="161-23"/>
    <s v="N.A"/>
    <x v="26"/>
    <s v="N.A"/>
    <n v="80111620"/>
    <x v="41"/>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n v="7366800"/>
    <m/>
    <n v="7366800"/>
    <m/>
    <n v="11050200"/>
    <m/>
    <m/>
    <n v="0"/>
    <n v="25783800"/>
    <n v="-25783800"/>
    <n v="83490400"/>
    <n v="57706600"/>
  </r>
  <r>
    <x v="1"/>
    <x v="8"/>
    <s v="N.A"/>
    <s v="Si"/>
    <n v="26"/>
    <s v="161-24"/>
    <s v="N.A"/>
    <x v="26"/>
    <s v="N.A"/>
    <n v="80111620"/>
    <x v="41"/>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n v="3285450"/>
    <m/>
    <n v="3285450"/>
    <m/>
    <n v="6570900"/>
    <m/>
    <m/>
    <n v="0"/>
    <n v="13141800"/>
    <n v="-13141800"/>
    <n v="22669605"/>
    <n v="9527805"/>
  </r>
  <r>
    <x v="1"/>
    <x v="8"/>
    <s v="N.A"/>
    <s v="Si"/>
    <n v="26"/>
    <s v="161-25"/>
    <s v="N.A"/>
    <x v="26"/>
    <s v="N.A"/>
    <n v="80111620"/>
    <x v="41"/>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31675140"/>
    <n v="31675140"/>
    <s v="No"/>
    <s v="N/A"/>
    <s v="Jessica Arias Gaviria"/>
    <s v="Subdirectora de Demanda"/>
    <n v="6012220601"/>
    <s v="jessica.arias@upme.gov.co"/>
    <m/>
    <m/>
    <m/>
    <m/>
    <m/>
    <m/>
    <m/>
    <m/>
    <m/>
    <m/>
    <m/>
    <m/>
    <m/>
    <m/>
    <m/>
    <m/>
    <m/>
    <m/>
    <m/>
    <n v="4590600"/>
    <m/>
    <n v="4590600"/>
    <m/>
    <n v="9181200"/>
    <m/>
    <m/>
    <n v="0"/>
    <n v="18362400"/>
    <n v="-18362400"/>
    <n v="31675140"/>
    <n v="13312740"/>
  </r>
  <r>
    <x v="1"/>
    <x v="8"/>
    <s v="N.A"/>
    <s v="Si"/>
    <s v="75 (30/12/2024)"/>
    <s v="161-26"/>
    <s v="N.A"/>
    <x v="26"/>
    <s v="N.A"/>
    <n v="80111620"/>
    <x v="41"/>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5150000"/>
    <n v="95150000"/>
    <s v="No"/>
    <s v="N/A"/>
    <s v="Jessica Arias Gaviria"/>
    <s v="Subdirectora de Demanda"/>
    <n v="6012220601"/>
    <s v="jessica.arias@upme.gov.co"/>
    <m/>
    <m/>
    <m/>
    <m/>
    <m/>
    <m/>
    <m/>
    <m/>
    <m/>
    <m/>
    <m/>
    <m/>
    <m/>
    <m/>
    <m/>
    <m/>
    <m/>
    <m/>
    <m/>
    <n v="8650000"/>
    <m/>
    <n v="8650000"/>
    <m/>
    <n v="17300000"/>
    <m/>
    <m/>
    <n v="0"/>
    <n v="34600000"/>
    <n v="-34600000"/>
    <n v="95150000"/>
    <n v="60550000"/>
  </r>
  <r>
    <x v="1"/>
    <x v="8"/>
    <s v="N.A"/>
    <s v="Si"/>
    <n v="42"/>
    <s v="161-27"/>
    <s v="N.A"/>
    <x v="26"/>
    <s v="N.A"/>
    <n v="80111620"/>
    <x v="41"/>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2475000"/>
    <n v="102475000"/>
    <s v="No"/>
    <s v="N/A"/>
    <s v="Jessica Arias Gaviria"/>
    <s v="Subdirectora de Demanda"/>
    <n v="6012220601"/>
    <s v="jessica.arias@upme.gov.co"/>
    <m/>
    <m/>
    <m/>
    <m/>
    <m/>
    <m/>
    <m/>
    <m/>
    <m/>
    <m/>
    <m/>
    <m/>
    <m/>
    <m/>
    <m/>
    <m/>
    <m/>
    <m/>
    <m/>
    <n v="8920000"/>
    <m/>
    <n v="8920000"/>
    <m/>
    <n v="16978000"/>
    <m/>
    <m/>
    <n v="0"/>
    <n v="34818000"/>
    <n v="-34818000"/>
    <n v="102475000"/>
    <n v="67657000"/>
  </r>
  <r>
    <x v="1"/>
    <x v="8"/>
    <s v="N.A"/>
    <s v="Si"/>
    <n v="42"/>
    <s v="161-28"/>
    <s v="N.A"/>
    <x v="26"/>
    <s v="N.A"/>
    <n v="80111620"/>
    <x v="41"/>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n v="8920000"/>
    <m/>
    <n v="8920000"/>
    <m/>
    <n v="11925000"/>
    <m/>
    <m/>
    <n v="0"/>
    <n v="29765000"/>
    <n v="-29765000"/>
    <n v="104205000"/>
    <n v="74440000"/>
  </r>
  <r>
    <x v="1"/>
    <x v="8"/>
    <s v="N.A"/>
    <s v="Si"/>
    <s v="75 (30/12/2024)"/>
    <s v="161-29"/>
    <s v="N.A"/>
    <x v="26"/>
    <s v="N.A"/>
    <n v="80111620"/>
    <x v="41"/>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n v="8650000"/>
    <m/>
    <n v="8650000"/>
    <m/>
    <n v="17300000"/>
    <m/>
    <m/>
    <n v="95150000"/>
    <n v="34600000"/>
    <n v="60550000"/>
    <n v="0"/>
    <n v="60550000"/>
  </r>
  <r>
    <x v="1"/>
    <x v="8"/>
    <s v="N.A"/>
    <s v="Si"/>
    <s v="75 (30/12/2024)"/>
    <s v="161-30"/>
    <s v="N.A"/>
    <x v="26"/>
    <s v="N.A"/>
    <n v="80111620"/>
    <x v="41"/>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7150000"/>
    <n v="97150000"/>
    <s v="No"/>
    <s v="N/A"/>
    <s v="Jessica Arias Gaviria"/>
    <s v="Subdirectora de Demanda"/>
    <n v="6012220601"/>
    <s v="jessica.arias@upme.gov.co"/>
    <m/>
    <m/>
    <m/>
    <m/>
    <m/>
    <m/>
    <m/>
    <m/>
    <m/>
    <m/>
    <m/>
    <m/>
    <m/>
    <m/>
    <m/>
    <m/>
    <m/>
    <m/>
    <m/>
    <n v="8800000"/>
    <m/>
    <n v="8800000"/>
    <m/>
    <n v="17950000"/>
    <m/>
    <m/>
    <n v="0"/>
    <n v="35550000"/>
    <n v="-35550000"/>
    <n v="97150000"/>
    <n v="61600000"/>
  </r>
  <r>
    <x v="1"/>
    <x v="8"/>
    <s v="N.A"/>
    <s v="Si"/>
    <n v="5"/>
    <s v="161-31"/>
    <s v="N.A"/>
    <x v="26"/>
    <s v="N.A"/>
    <n v="80111620"/>
    <x v="41"/>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n v="8997450"/>
    <m/>
    <n v="8997450"/>
    <m/>
    <n v="17994900"/>
    <m/>
    <m/>
    <n v="0"/>
    <n v="35989800"/>
    <n v="-35989800"/>
    <n v="96272715"/>
    <n v="60282915"/>
  </r>
  <r>
    <x v="1"/>
    <x v="8"/>
    <s v="N.A"/>
    <s v="Si"/>
    <s v="75 (30/12/2024)"/>
    <s v="161-32"/>
    <s v="N.A"/>
    <x v="26"/>
    <s v="N.A"/>
    <n v="80111620"/>
    <x v="41"/>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n v="7727273"/>
    <m/>
    <n v="7727273"/>
    <m/>
    <n v="15454543"/>
    <m/>
    <m/>
    <n v="85000000"/>
    <n v="30909089"/>
    <n v="54090911"/>
    <n v="0"/>
    <n v="54090911"/>
  </r>
  <r>
    <x v="1"/>
    <x v="8"/>
    <s v="N.A"/>
    <s v="Si"/>
    <s v="75 (30/12/2024)"/>
    <s v="161-33"/>
    <s v="N.A"/>
    <x v="26"/>
    <s v="N.A"/>
    <n v="80111620"/>
    <x v="41"/>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0138452"/>
    <n v="120138452"/>
    <s v="No"/>
    <s v="N/A"/>
    <s v="Jessica Arias Gaviria"/>
    <s v="Subdirectora de Demanda"/>
    <n v="6012220601"/>
    <s v="jessica.arias@upme.gov.co"/>
    <m/>
    <m/>
    <m/>
    <m/>
    <m/>
    <m/>
    <m/>
    <m/>
    <m/>
    <m/>
    <m/>
    <m/>
    <m/>
    <m/>
    <m/>
    <m/>
    <m/>
    <m/>
    <m/>
    <n v="10446822"/>
    <m/>
    <n v="10446822"/>
    <m/>
    <n v="20893644"/>
    <m/>
    <m/>
    <n v="0"/>
    <n v="41787288"/>
    <n v="-41787288"/>
    <n v="120138452"/>
    <n v="78351164"/>
  </r>
  <r>
    <x v="1"/>
    <x v="8"/>
    <s v="N.A"/>
    <s v="Si"/>
    <n v="13"/>
    <s v="161-34"/>
    <s v="N.A"/>
    <x v="26"/>
    <s v="N.A"/>
    <n v="80111620"/>
    <x v="41"/>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n v="7053862"/>
    <m/>
    <n v="7053862"/>
    <m/>
    <n v="6732560"/>
    <m/>
    <m/>
    <n v="0"/>
    <n v="20840284"/>
    <n v="-20840284"/>
    <n v="64010920"/>
    <n v="43170636"/>
  </r>
  <r>
    <x v="1"/>
    <x v="8"/>
    <s v="N.A"/>
    <s v="Si"/>
    <n v="48"/>
    <s v="161-35"/>
    <s v="N.A"/>
    <x v="26"/>
    <s v="N.A"/>
    <n v="81101516"/>
    <x v="41"/>
    <s v="Consultoría"/>
    <s v="161-35 Diseñar y estructurar el contenido técnico y la propuesta de acreditación y certificación del programa de capacitación para gestores energéticos"/>
    <s v="Mayo"/>
    <s v="Junio "/>
    <s v="Julio "/>
    <n v="5"/>
    <s v="Meses"/>
    <s v="Contratación régimen especial (con ofertas) - Régimen especial"/>
    <s v="Propios - 20 - Ingresos corrientes"/>
    <n v="17557199"/>
    <n v="17557199"/>
    <s v="No"/>
    <s v="N/A"/>
    <s v="Jessica Arias Gaviria"/>
    <s v="Subdirectora de Demanda"/>
    <n v="6012220601"/>
    <s v="jessica.arias@upme.gov.co"/>
    <m/>
    <m/>
    <m/>
    <m/>
    <m/>
    <m/>
    <m/>
    <m/>
    <m/>
    <m/>
    <m/>
    <m/>
    <m/>
    <m/>
    <m/>
    <m/>
    <m/>
    <m/>
    <m/>
    <n v="187646860"/>
    <m/>
    <m/>
    <m/>
    <n v="140735144"/>
    <m/>
    <m/>
    <n v="0"/>
    <n v="328382004"/>
    <n v="-328382004"/>
    <n v="17557199"/>
    <n v="-310824805"/>
  </r>
  <r>
    <x v="1"/>
    <x v="8"/>
    <s v="N.A"/>
    <s v="Si"/>
    <n v="42"/>
    <s v="161-36"/>
    <s v="N.A"/>
    <x v="26"/>
    <s v="N.A"/>
    <n v="80111620"/>
    <x v="43"/>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n v="9000000"/>
    <m/>
    <n v="9000000"/>
    <m/>
    <n v="18000000"/>
    <m/>
    <m/>
    <n v="0"/>
    <n v="36000000"/>
    <n v="-36000000"/>
    <n v="105000000"/>
    <n v="69000000"/>
  </r>
  <r>
    <x v="1"/>
    <x v="8"/>
    <s v="N.A"/>
    <s v="Si"/>
    <n v="42"/>
    <s v="161-37"/>
    <s v="N.A"/>
    <x v="26"/>
    <s v="N.A"/>
    <n v="80111620"/>
    <x v="43"/>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n v="6615000"/>
    <m/>
    <n v="6615000"/>
    <m/>
    <n v="13230000"/>
    <m/>
    <m/>
    <n v="72765000"/>
    <n v="26460000"/>
    <n v="46305000"/>
    <n v="1543500"/>
    <n v="47848500"/>
  </r>
  <r>
    <x v="1"/>
    <x v="8"/>
    <s v="N.A"/>
    <s v="Si"/>
    <s v="75 (30/12/2024)"/>
    <s v="161-38"/>
    <s v="N.A"/>
    <x v="26"/>
    <s v="N.A"/>
    <n v="80111620"/>
    <x v="43"/>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n v="9200000"/>
    <m/>
    <n v="9200000"/>
    <m/>
    <n v="18400000"/>
    <m/>
    <m/>
    <n v="0"/>
    <n v="36800000"/>
    <n v="-36800000"/>
    <n v="101200000"/>
    <n v="64400000"/>
  </r>
  <r>
    <x v="1"/>
    <x v="8"/>
    <s v="N.A"/>
    <s v="Si"/>
    <n v="5"/>
    <s v="161-39"/>
    <s v="N.A"/>
    <x v="26"/>
    <s v="N.A"/>
    <n v="80111620"/>
    <x v="43"/>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11002815"/>
    <n v="111002815"/>
    <s v="No"/>
    <s v="N/A"/>
    <s v="Jessica Arias Gaviria"/>
    <s v="Subdirectora de Demanda"/>
    <n v="6012220601"/>
    <s v="jessica.arias@upme.gov.co"/>
    <m/>
    <m/>
    <m/>
    <m/>
    <m/>
    <m/>
    <m/>
    <m/>
    <m/>
    <m/>
    <m/>
    <m/>
    <m/>
    <m/>
    <m/>
    <m/>
    <m/>
    <m/>
    <m/>
    <n v="9677850"/>
    <m/>
    <n v="9677850"/>
    <m/>
    <n v="23902165"/>
    <m/>
    <m/>
    <n v="0"/>
    <n v="43257865"/>
    <n v="-43257865"/>
    <n v="111002815"/>
    <n v="67744950"/>
  </r>
  <r>
    <x v="1"/>
    <x v="8"/>
    <s v="N.A"/>
    <s v="Si"/>
    <n v="42"/>
    <s v="161-40"/>
    <s v="N.A"/>
    <x v="26"/>
    <s v="N.A"/>
    <n v="80111620"/>
    <x v="43"/>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n v="5000000"/>
    <m/>
    <n v="5000000"/>
    <m/>
    <n v="10000000"/>
    <m/>
    <m/>
    <n v="0"/>
    <n v="20000000"/>
    <n v="-20000000"/>
    <n v="57666667"/>
    <n v="37666667"/>
  </r>
  <r>
    <x v="1"/>
    <x v="8"/>
    <s v="N.A"/>
    <s v="Si"/>
    <n v="44"/>
    <s v="161-41"/>
    <s v="N.A"/>
    <x v="26"/>
    <s v="N.A"/>
    <n v="80111620"/>
    <x v="41"/>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n v="5416950"/>
    <m/>
    <n v="5416950"/>
    <m/>
    <n v="8125425"/>
    <m/>
    <m/>
    <n v="0"/>
    <n v="18959325"/>
    <n v="-18959325"/>
    <n v="65121334"/>
    <n v="46162009"/>
  </r>
  <r>
    <x v="1"/>
    <x v="8"/>
    <s v="N.A"/>
    <s v="Si"/>
    <n v="41"/>
    <s v="161-42"/>
    <s v="N.A"/>
    <x v="26"/>
    <s v="N.A"/>
    <n v="80111620"/>
    <x v="41"/>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n v="9500000"/>
    <m/>
    <n v="9500000"/>
    <m/>
    <n v="19000000"/>
    <m/>
    <m/>
    <n v="0"/>
    <n v="38000000"/>
    <n v="-38000000"/>
    <n v="111466667"/>
    <n v="73466667"/>
  </r>
  <r>
    <x v="1"/>
    <x v="8"/>
    <s v="N.A"/>
    <s v="Si"/>
    <n v="41"/>
    <s v="161-43"/>
    <s v="N.A"/>
    <x v="26"/>
    <s v="N.A"/>
    <n v="80111620"/>
    <x v="41"/>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n v="5000000"/>
    <m/>
    <n v="5000000"/>
    <m/>
    <n v="5000000"/>
    <m/>
    <m/>
    <n v="0"/>
    <n v="15000000"/>
    <n v="-15000000"/>
    <n v="59350000"/>
    <n v="44350000"/>
  </r>
  <r>
    <x v="1"/>
    <x v="8"/>
    <s v="N.A"/>
    <s v="Si"/>
    <s v="75 (30/12/2024)"/>
    <s v="161-44"/>
    <s v="N.A"/>
    <x v="26"/>
    <s v="N.A"/>
    <n v="80111620"/>
    <x v="43"/>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m/>
    <m/>
    <n v="5000000"/>
    <m/>
    <n v="5000000"/>
    <m/>
    <n v="5000000"/>
    <m/>
    <m/>
    <n v="0"/>
    <n v="15000000"/>
    <n v="-15000000"/>
    <n v="50000000"/>
    <n v="35000000"/>
  </r>
  <r>
    <x v="1"/>
    <x v="8"/>
    <s v="N.A"/>
    <s v="Si"/>
    <s v="75 (30/12/2024)"/>
    <s v="161-45"/>
    <s v="N.A"/>
    <x v="26"/>
    <s v="N.A"/>
    <n v="80111620"/>
    <x v="43"/>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5690000"/>
    <n v="85690000"/>
    <s v="No"/>
    <s v="N/A"/>
    <s v="Jessica Arias Gaviria"/>
    <s v="Subdirectora de Demanda"/>
    <n v="6012220601"/>
    <s v="jessica.arias@upme.gov.co"/>
    <m/>
    <m/>
    <m/>
    <m/>
    <m/>
    <m/>
    <m/>
    <m/>
    <m/>
    <m/>
    <m/>
    <m/>
    <m/>
    <m/>
    <m/>
    <m/>
    <m/>
    <m/>
    <m/>
    <n v="8569000"/>
    <m/>
    <n v="8569000"/>
    <m/>
    <n v="8569000"/>
    <m/>
    <m/>
    <n v="0"/>
    <n v="25707000"/>
    <n v="-25707000"/>
    <n v="85690000"/>
    <n v="59983000"/>
  </r>
  <r>
    <x v="1"/>
    <x v="8"/>
    <s v="N.A"/>
    <s v="Si"/>
    <s v="75 (30/12/2024)"/>
    <s v="161-46"/>
    <s v="N.A"/>
    <x v="26"/>
    <s v="N.A"/>
    <n v="80111620"/>
    <x v="43"/>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m/>
    <m/>
    <n v="5000000"/>
    <m/>
    <n v="5000000"/>
    <m/>
    <n v="5000000"/>
    <m/>
    <m/>
    <n v="0"/>
    <n v="15000000"/>
    <n v="-15000000"/>
    <n v="50000000"/>
    <n v="35000000"/>
  </r>
  <r>
    <x v="1"/>
    <x v="8"/>
    <s v="N.A"/>
    <s v="Si"/>
    <s v="75 (30/12/2024)"/>
    <s v="161-47"/>
    <s v="N.A"/>
    <x v="26"/>
    <s v="N.A"/>
    <n v="80111620"/>
    <x v="41"/>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r>
  <r>
    <x v="1"/>
    <x v="8"/>
    <s v="N.A"/>
    <s v="Si"/>
    <s v="75 (30/12/2024)"/>
    <s v="161-48"/>
    <s v="N.A"/>
    <x v="26"/>
    <s v="N.A"/>
    <n v="80111620"/>
    <x v="41"/>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r>
  <r>
    <x v="1"/>
    <x v="8"/>
    <s v="N.A"/>
    <s v="Si"/>
    <n v="48"/>
    <s v="161-49"/>
    <s v="N.A"/>
    <x v="26"/>
    <s v="N.A"/>
    <n v="80111620"/>
    <x v="43"/>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n v="8500000"/>
    <m/>
    <n v="8500000"/>
    <m/>
    <n v="17000000"/>
    <m/>
    <m/>
    <n v="0"/>
    <n v="34000000"/>
    <n v="-34000000"/>
    <n v="104562878"/>
    <n v="70562878"/>
  </r>
  <r>
    <x v="1"/>
    <x v="8"/>
    <s v="N.A"/>
    <s v="Si"/>
    <n v="31"/>
    <s v="161-50"/>
    <s v="N.A"/>
    <x v="26"/>
    <s v="N.A"/>
    <n v="80111620"/>
    <x v="41"/>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n v="7366800"/>
    <m/>
    <n v="7366800"/>
    <m/>
    <n v="7366800"/>
    <m/>
    <m/>
    <n v="0"/>
    <n v="22100400"/>
    <n v="-22100400"/>
    <n v="86191560"/>
    <n v="64091160"/>
  </r>
  <r>
    <x v="1"/>
    <x v="8"/>
    <s v="N.A"/>
    <s v="Si"/>
    <s v="75 (30/12/2024)"/>
    <s v="161-51"/>
    <s v="N.A"/>
    <x v="26"/>
    <s v="N.A"/>
    <s v="84111701;84101501"/>
    <x v="44"/>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n v="5513940"/>
    <m/>
    <n v="5513940"/>
    <m/>
    <n v="5513940"/>
    <m/>
    <m/>
    <n v="0"/>
    <n v="16541820"/>
    <n v="-16541820"/>
    <n v="66167280"/>
    <n v="49625460"/>
  </r>
  <r>
    <x v="1"/>
    <x v="8"/>
    <s v="N.A"/>
    <s v="Si"/>
    <n v="46"/>
    <s v="161-52"/>
    <s v="N.A"/>
    <x v="26"/>
    <s v="N.A"/>
    <n v="80111620"/>
    <x v="41"/>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n v="3536160"/>
    <m/>
    <n v="3536160"/>
    <m/>
    <n v="1768080"/>
    <m/>
    <m/>
    <n v="0"/>
    <n v="8840400"/>
    <n v="-8840400"/>
    <n v="37947000"/>
    <n v="29106600"/>
  </r>
  <r>
    <x v="1"/>
    <x v="8"/>
    <s v="N.A"/>
    <s v="Si"/>
    <n v="22"/>
    <s v="161-53"/>
    <s v="N.A"/>
    <x v="26"/>
    <s v="N.A"/>
    <n v="80111620"/>
    <x v="41"/>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n v="3285450"/>
    <m/>
    <n v="3285450"/>
    <m/>
    <n v="6570900"/>
    <m/>
    <m/>
    <n v="0"/>
    <n v="13141800"/>
    <n v="-13141800"/>
    <n v="14979160"/>
    <n v="1837360"/>
  </r>
  <r>
    <x v="1"/>
    <x v="8"/>
    <s v="N.A"/>
    <s v="Si"/>
    <s v="75 (30/12/2024)"/>
    <s v="161-54"/>
    <s v="N.A"/>
    <x v="26"/>
    <s v="N.A"/>
    <n v="80131500"/>
    <x v="45"/>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39469810"/>
    <n v="139469810"/>
    <s v="No"/>
    <s v="N/A"/>
    <s v="Yezmy Carolina Vargas"/>
    <s v="Coordinadora GIT Gestión Administrativa y Servicio al Ciudadano"/>
    <n v="6012220601"/>
    <s v="yezmy.vargas@upme.gov.co"/>
    <m/>
    <m/>
    <m/>
    <m/>
    <m/>
    <m/>
    <m/>
    <m/>
    <m/>
    <m/>
    <m/>
    <m/>
    <m/>
    <m/>
    <m/>
    <m/>
    <m/>
    <m/>
    <m/>
    <n v="11622484"/>
    <m/>
    <n v="11622484"/>
    <m/>
    <n v="11622486"/>
    <m/>
    <m/>
    <n v="0"/>
    <n v="34867454"/>
    <n v="-34867454"/>
    <n v="139469810"/>
    <n v="104602356"/>
  </r>
  <r>
    <x v="1"/>
    <x v="8"/>
    <s v="N.A"/>
    <s v="Si"/>
    <s v="75 (30/12/2024)"/>
    <s v="161-55"/>
    <s v="N.A"/>
    <x v="26"/>
    <s v="N.A"/>
    <n v="80111620"/>
    <x v="43"/>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74369600"/>
    <n v="74369600"/>
    <s v="No"/>
    <s v="N/A"/>
    <s v="Hollman Corredor"/>
    <s v="Coordinador GIT Gestión Financiera"/>
    <n v="6012220601"/>
    <s v="hollman.corredor@upme.gov.co"/>
    <n v="73668000"/>
    <m/>
    <m/>
    <m/>
    <m/>
    <m/>
    <m/>
    <m/>
    <m/>
    <m/>
    <m/>
    <m/>
    <m/>
    <m/>
    <m/>
    <m/>
    <m/>
    <m/>
    <m/>
    <n v="7436960"/>
    <m/>
    <n v="7436960"/>
    <m/>
    <n v="3718480"/>
    <m/>
    <m/>
    <n v="73668000"/>
    <n v="18592400"/>
    <n v="55075600"/>
    <n v="701600"/>
    <n v="55777200"/>
  </r>
  <r>
    <x v="1"/>
    <x v="8"/>
    <s v="N.A"/>
    <s v="Si"/>
    <s v="75 (30/12/2024)"/>
    <s v="161-56"/>
    <s v="N.A"/>
    <x v="26"/>
    <s v="N.A"/>
    <n v="80111620"/>
    <x v="41"/>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35622510"/>
    <n v="35622510"/>
    <s v="No"/>
    <s v="N/A"/>
    <s v="Hollman Corredor"/>
    <s v="Coordinador GIT Gestión Financiera"/>
    <n v="6012220601"/>
    <s v="hollman.corredor@upme.gov.co"/>
    <m/>
    <m/>
    <m/>
    <m/>
    <m/>
    <m/>
    <m/>
    <m/>
    <m/>
    <m/>
    <m/>
    <m/>
    <m/>
    <m/>
    <m/>
    <m/>
    <m/>
    <m/>
    <m/>
    <n v="3316740"/>
    <m/>
    <n v="3316740"/>
    <m/>
    <n v="4113480"/>
    <m/>
    <m/>
    <n v="0"/>
    <n v="10746960"/>
    <n v="-10746960"/>
    <n v="35622510"/>
    <n v="24875550"/>
  </r>
  <r>
    <x v="1"/>
    <x v="8"/>
    <s v="N.A"/>
    <s v="Si"/>
    <s v="75 (30/12/2024)"/>
    <s v="161-57"/>
    <s v="N.A"/>
    <x v="26"/>
    <s v="N.A"/>
    <s v="78102203;78102206"/>
    <x v="46"/>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n v="2500000"/>
    <m/>
    <n v="2500000"/>
    <m/>
    <n v="2500000"/>
    <m/>
    <m/>
    <n v="0"/>
    <n v="7500000"/>
    <n v="-7500000"/>
    <n v="30000000"/>
    <n v="22500000"/>
  </r>
  <r>
    <x v="1"/>
    <x v="8"/>
    <s v="N.A"/>
    <s v="Si"/>
    <s v="75 (30/12/2024)"/>
    <s v="161-58"/>
    <s v="N.A"/>
    <x v="26"/>
    <s v="N.A"/>
    <n v="80111620"/>
    <x v="41"/>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n v="3458000"/>
    <m/>
    <n v="3458000"/>
    <m/>
    <n v="6916000"/>
    <m/>
    <m/>
    <n v="0"/>
    <n v="13832000"/>
    <n v="-13832000"/>
    <n v="19019000"/>
    <n v="5187000"/>
  </r>
  <r>
    <x v="1"/>
    <x v="8"/>
    <s v="N.A"/>
    <s v="Si"/>
    <s v="75 (30/12/2024)"/>
    <s v="161-59"/>
    <s v="N.A"/>
    <x v="26"/>
    <s v="N.A"/>
    <n v="80111620"/>
    <x v="43"/>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45250000"/>
    <n v="45250000"/>
    <s v="No"/>
    <s v="N/A"/>
    <s v="Jessica Arias Gaviria"/>
    <s v="Subdirectora de Demanda"/>
    <n v="6012220601"/>
    <s v="jessica.arias@upme.gov.co"/>
    <m/>
    <m/>
    <m/>
    <m/>
    <m/>
    <m/>
    <m/>
    <m/>
    <m/>
    <m/>
    <m/>
    <m/>
    <m/>
    <m/>
    <m/>
    <m/>
    <m/>
    <m/>
    <m/>
    <n v="4525000"/>
    <m/>
    <n v="4525000"/>
    <m/>
    <n v="4525000"/>
    <m/>
    <m/>
    <n v="0"/>
    <n v="13575000"/>
    <n v="-13575000"/>
    <n v="45250000"/>
    <n v="31675000"/>
  </r>
  <r>
    <x v="1"/>
    <x v="8"/>
    <s v="N.A"/>
    <s v="Si"/>
    <s v="75 (30/12/2024)"/>
    <s v="161-60"/>
    <s v="N.A"/>
    <x v="26"/>
    <s v="N.A"/>
    <s v="N/A"/>
    <x v="44"/>
    <s v="Impuesto"/>
    <s v="161-60 4X1000"/>
    <s v="N.A"/>
    <s v="N.A"/>
    <s v="N.A"/>
    <s v="N.A"/>
    <s v="N/A"/>
    <s v="N/A"/>
    <s v="Propios - 20 - Ingresos corrientes"/>
    <n v="16984554"/>
    <n v="16984554"/>
    <s v="No"/>
    <s v="N/A"/>
    <s v="Jessica Arias Gaviria"/>
    <s v="Subdirectora de Demanda"/>
    <n v="6012220601"/>
    <s v="jessica.arias@upme.gov.co"/>
    <m/>
    <m/>
    <m/>
    <m/>
    <m/>
    <m/>
    <m/>
    <m/>
    <m/>
    <m/>
    <m/>
    <m/>
    <m/>
    <m/>
    <m/>
    <m/>
    <m/>
    <m/>
    <n v="1363831"/>
    <n v="1363831"/>
    <n v="1363831"/>
    <n v="1363831"/>
    <n v="2994117"/>
    <n v="2994117"/>
    <m/>
    <m/>
    <n v="5721779"/>
    <n v="5721779"/>
    <n v="0"/>
    <n v="11262775"/>
    <n v="11262775"/>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5">
  <r>
    <x v="0"/>
    <x v="0"/>
    <s v="Transversal"/>
    <s v="Si"/>
    <n v="48"/>
    <s v="110-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s v="N/A"/>
    <s v="C-2199-1900-4-53105B-2199057-02"/>
    <s v="Planta temporal"/>
    <s v="110-1 Planta temporal"/>
    <s v="Septiembre"/>
    <s v="Septiembre"/>
    <s v="Septiembre"/>
    <n v="4"/>
    <s v="Meses"/>
    <s v="Contratación directa - Prestación de servicios profesionales"/>
    <s v="Propios - 20 - Ingresos corrientes"/>
    <n v="69215423"/>
    <n v="69215423"/>
    <s v="No"/>
    <s v="N/A"/>
    <s v="Liliana Castillo"/>
    <s v="Coordinadora GIT Gestión del Talento Humano"/>
    <n v="6012220601"/>
    <s v="liliana.castillo@upme.gov.co"/>
    <m/>
    <m/>
    <m/>
    <m/>
    <m/>
    <m/>
    <m/>
    <m/>
    <m/>
    <m/>
    <m/>
    <m/>
    <m/>
    <m/>
    <m/>
    <m/>
    <m/>
    <m/>
    <m/>
    <m/>
    <n v="16200000"/>
    <n v="16200000"/>
    <n v="53015423"/>
    <n v="53015423"/>
  </r>
  <r>
    <x v="0"/>
    <x v="0"/>
    <s v="Transversal"/>
    <s v="Si"/>
    <n v="5"/>
    <s v="110-2"/>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r>
  <r>
    <x v="0"/>
    <x v="0"/>
    <s v="Transversal"/>
    <s v="Si"/>
    <n v="5"/>
    <s v="110-3"/>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2624000"/>
    <m/>
    <n v="9171356"/>
    <m/>
    <m/>
  </r>
  <r>
    <x v="0"/>
    <x v="0"/>
    <s v="Transversal"/>
    <s v="Si"/>
    <n v="44"/>
    <s v="110-4"/>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r>
  <r>
    <x v="0"/>
    <x v="0"/>
    <s v="Transversal"/>
    <s v="Si"/>
    <n v="47"/>
    <s v="110-5"/>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31500"/>
    <s v="C-2199-1900-4-53105B-2199060-02"/>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r>
  <r>
    <x v="0"/>
    <x v="0"/>
    <s v="Transversal"/>
    <s v="Si"/>
    <n v="40"/>
    <s v="110-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r>
  <r>
    <x v="0"/>
    <x v="0"/>
    <s v="Transversal"/>
    <s v="Si"/>
    <n v="40"/>
    <s v="110-7"/>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r>
  <r>
    <x v="0"/>
    <x v="0"/>
    <s v="Transversal"/>
    <s v="Si"/>
    <n v="40"/>
    <s v="110-8"/>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r>
  <r>
    <x v="0"/>
    <x v="0"/>
    <s v="Transversal"/>
    <s v="Si"/>
    <s v="75 (30/12/2024)"/>
    <s v="110-9"/>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m/>
    <m/>
    <n v="5941291"/>
    <m/>
    <n v="6800000"/>
  </r>
  <r>
    <x v="0"/>
    <x v="0"/>
    <s v="Transversal"/>
    <s v="Si"/>
    <n v="32"/>
    <s v="110-10"/>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8500000"/>
    <m/>
    <n v="2558709"/>
    <m/>
    <m/>
  </r>
  <r>
    <x v="0"/>
    <x v="0"/>
    <s v="Transversal"/>
    <s v="Si"/>
    <n v="32"/>
    <s v="110-1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r>
  <r>
    <x v="0"/>
    <x v="0"/>
    <s v="Transversal"/>
    <s v="Si"/>
    <s v="75 (30/12/2024)"/>
    <s v="110-12"/>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r>
  <r>
    <x v="0"/>
    <x v="0"/>
    <s v="Transversal"/>
    <s v="Si"/>
    <s v="75 (30/12/2024)"/>
    <s v="110-13"/>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r>
  <r>
    <x v="0"/>
    <x v="0"/>
    <s v="Transversal"/>
    <s v="Si"/>
    <n v="32"/>
    <s v="110-14"/>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r>
  <r>
    <x v="0"/>
    <x v="0"/>
    <s v="Transversal"/>
    <s v="Si"/>
    <n v="6"/>
    <s v="110-15"/>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53778903"/>
    <m/>
    <n v="53778903"/>
    <m/>
    <n v="26889452"/>
  </r>
  <r>
    <x v="0"/>
    <x v="0"/>
    <s v="Transversal"/>
    <s v="Si"/>
    <n v="32"/>
    <s v="110-16"/>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r>
  <r>
    <x v="0"/>
    <x v="0"/>
    <s v="Transversal"/>
    <s v="Si"/>
    <s v="75 (30/12/2024)"/>
    <s v="110-17"/>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r>
  <r>
    <x v="0"/>
    <x v="0"/>
    <s v="Transversal"/>
    <s v="Si"/>
    <n v="5"/>
    <s v="110-18"/>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m/>
    <m/>
    <n v="2611044"/>
    <m/>
    <m/>
  </r>
  <r>
    <x v="0"/>
    <x v="0"/>
    <s v="Transversal"/>
    <s v="Si"/>
    <n v="47"/>
    <s v="110-19"/>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43233600"/>
    <s v="C-2199-1900-4-53105B-2199060-02"/>
    <s v="Adquisición de bienes y/o servicios (otros)"/>
    <s v="110-19 Contratar el suministro de una solución tecnológica integral en la modalidad de software como servicio (SaaS), que permita la gestión unificada de los procesos de nómina, recursos humanos, administración de contratistas, y el control de bienes y se"/>
    <s v="Julio"/>
    <s v="Agosto"/>
    <s v="Septiembre"/>
    <n v="12"/>
    <s v="Meses"/>
    <s v="Seléccion abreviada - acuerdo marco"/>
    <s v="Propios - 20 - Ingresos corrientes"/>
    <n v="20000000"/>
    <n v="20000000"/>
    <s v="No"/>
    <s v="N/A"/>
    <s v="Liliana Castillo"/>
    <s v="Coordinadora GIT Gestión del Talento Humano"/>
    <n v="6012220601"/>
    <s v="liliana.castillo@upme.gov.co"/>
    <m/>
    <m/>
    <m/>
    <m/>
    <m/>
    <m/>
    <m/>
    <m/>
    <m/>
    <m/>
    <m/>
    <m/>
    <m/>
    <m/>
    <m/>
    <m/>
    <m/>
    <m/>
    <n v="20000000"/>
    <m/>
    <m/>
    <n v="20000000"/>
    <m/>
    <m/>
  </r>
  <r>
    <x v="0"/>
    <x v="0"/>
    <s v="Transversal"/>
    <s v="Si"/>
    <n v="15"/>
    <s v="110-20"/>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43233501"/>
    <s v="C-2199-1900-4-53105B-2199060-02"/>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r>
  <r>
    <x v="0"/>
    <x v="0"/>
    <s v="Transversal"/>
    <s v="Si"/>
    <n v="16"/>
    <s v="110-21"/>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r>
  <r>
    <x v="0"/>
    <x v="0"/>
    <s v="Transversal"/>
    <s v="Si"/>
    <n v="47"/>
    <s v="110-22"/>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n v="7272727"/>
    <m/>
    <n v="14060606"/>
  </r>
  <r>
    <x v="0"/>
    <x v="0"/>
    <s v="Transversal"/>
    <s v="Si"/>
    <n v="44"/>
    <s v="110-23"/>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r>
  <r>
    <x v="0"/>
    <x v="0"/>
    <s v="Transversal"/>
    <s v="Si"/>
    <n v="37"/>
    <s v="110-24"/>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n v="6000000"/>
    <m/>
    <n v="6000000"/>
    <m/>
    <n v="5720236"/>
  </r>
  <r>
    <x v="0"/>
    <x v="0"/>
    <s v="Transversal"/>
    <s v="Si"/>
    <n v="44"/>
    <s v="110-25"/>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8279764"/>
    <n v="8279764"/>
    <s v="No"/>
    <s v="N/A"/>
    <s v="Angela Lobo"/>
    <s v="Coordinadora GIT Contractual "/>
    <n v="6012220601"/>
    <s v="angela.lobo@upme.gov.co"/>
    <m/>
    <m/>
    <m/>
    <m/>
    <m/>
    <m/>
    <m/>
    <m/>
    <m/>
    <m/>
    <m/>
    <m/>
    <m/>
    <m/>
    <n v="8279764"/>
    <m/>
    <n v="-1000000"/>
    <m/>
    <m/>
    <m/>
    <n v="1000000"/>
    <m/>
    <m/>
    <n v="8279764"/>
  </r>
  <r>
    <x v="0"/>
    <x v="0"/>
    <s v="Transversal"/>
    <s v="Si"/>
    <n v="44"/>
    <s v="110-2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4500000"/>
    <m/>
    <n v="4500000"/>
    <m/>
    <n v="12667800"/>
  </r>
  <r>
    <x v="0"/>
    <x v="0"/>
    <s v="Transversal"/>
    <s v="Si"/>
    <n v="39"/>
    <s v="110-27"/>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r>
  <r>
    <x v="0"/>
    <x v="0"/>
    <s v="Transversal"/>
    <s v="Si"/>
    <n v="44"/>
    <s v="110-28"/>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r>
  <r>
    <x v="0"/>
    <x v="0"/>
    <s v="Transversal"/>
    <s v="Si"/>
    <n v="47"/>
    <s v="110-29"/>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10088790"/>
    <n v="10088790"/>
    <s v="No"/>
    <s v="N/A"/>
    <s v="Katherin Perez"/>
    <s v="Coordinadora GITTH "/>
    <n v="6012220601"/>
    <s v="katherine.perez@upme.gov.co"/>
    <m/>
    <m/>
    <m/>
    <m/>
    <m/>
    <m/>
    <m/>
    <m/>
    <m/>
    <m/>
    <m/>
    <m/>
    <m/>
    <m/>
    <m/>
    <m/>
    <m/>
    <m/>
    <n v="10088790"/>
    <m/>
    <m/>
    <n v="3088790"/>
    <m/>
    <n v="7000000"/>
  </r>
  <r>
    <x v="0"/>
    <x v="0"/>
    <s v="Transversal"/>
    <s v="Si"/>
    <n v="48"/>
    <s v="110-30"/>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18000000"/>
    <n v="18000000"/>
    <s v="No"/>
    <s v="N/A"/>
    <s v="Carolina Barrera"/>
    <s v="Coordinadora GITTH "/>
    <n v="6012220601"/>
    <s v="yenny.barrera@upme.gov.co"/>
    <m/>
    <m/>
    <m/>
    <m/>
    <m/>
    <m/>
    <m/>
    <m/>
    <m/>
    <m/>
    <m/>
    <m/>
    <m/>
    <m/>
    <m/>
    <m/>
    <m/>
    <m/>
    <n v="18000000"/>
    <m/>
    <m/>
    <n v="3600000"/>
    <m/>
    <n v="14400000"/>
  </r>
  <r>
    <x v="0"/>
    <x v="0"/>
    <s v="Transversal"/>
    <s v="Si"/>
    <n v="48"/>
    <s v="110-3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1 Prestar servicios de apoyo a la gestión de los procesos y procedimientos de competencia de la Oficina Asesora Jurídica y la Secretaría general de la UPME, , en el marco del proyecto de inversión &quot;Fortalecimiento de la percepción ciudadana frente a "/>
    <s v="Octubre"/>
    <s v="Octubre"/>
    <s v="Octubre"/>
    <n v="2.5"/>
    <s v="Meses"/>
    <s v="Contratación directa- prestación de servicios profesionales "/>
    <s v="Propios - 20 - Ingresos corrientes"/>
    <n v="10000000"/>
    <n v="10000000"/>
    <s v="No"/>
    <s v="N/A"/>
    <s v="Carolina Barrera"/>
    <s v="Coordinadora GITTH "/>
    <n v="6012220601"/>
    <s v="yenny.barrera@upme.gov.co"/>
    <m/>
    <m/>
    <m/>
    <m/>
    <m/>
    <m/>
    <m/>
    <m/>
    <m/>
    <m/>
    <m/>
    <m/>
    <m/>
    <m/>
    <m/>
    <m/>
    <m/>
    <m/>
    <n v="10000000"/>
    <m/>
    <m/>
    <n v="2000000"/>
    <m/>
    <n v="8000000"/>
  </r>
  <r>
    <x v="0"/>
    <x v="1"/>
    <s v="Transversal"/>
    <s v="Si"/>
    <n v="40"/>
    <s v="101-1"/>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m/>
    <n v="11000000"/>
    <m/>
    <n v="11000000"/>
    <n v="1100000"/>
    <n v="22000000"/>
  </r>
  <r>
    <x v="0"/>
    <x v="1"/>
    <s v="Transversal"/>
    <s v="Si"/>
    <s v="75 (30/12/2024)"/>
    <s v="101-2"/>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r>
  <r>
    <x v="0"/>
    <x v="1"/>
    <s v="Transversal"/>
    <s v="Si"/>
    <n v="40"/>
    <s v="101-3"/>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911504"/>
    <n v="10911504"/>
    <s v="No"/>
    <s v="N/A"/>
    <s v="Diego Armando Vanegas Páez"/>
    <s v="Jefe de Oficina Asesora"/>
    <n v="6012220601"/>
    <s v="diego.vanegas@upme.gov.co"/>
    <m/>
    <m/>
    <n v="10865541"/>
    <m/>
    <m/>
    <m/>
    <m/>
    <m/>
    <m/>
    <m/>
    <m/>
    <m/>
    <m/>
    <m/>
    <m/>
    <n v="2865541"/>
    <m/>
    <n v="6666667"/>
    <m/>
    <n v="1333333"/>
    <m/>
    <n v="0"/>
    <m/>
    <m/>
  </r>
  <r>
    <x v="0"/>
    <x v="1"/>
    <s v="Transversal"/>
    <s v="Si"/>
    <n v="41"/>
    <s v="101-4"/>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r>
  <r>
    <x v="0"/>
    <x v="1"/>
    <s v="Transversal"/>
    <s v="Si"/>
    <s v="75 (30/12/2024)"/>
    <s v="101-5"/>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n v="2285039"/>
    <m/>
    <n v="4738699"/>
    <m/>
    <m/>
  </r>
  <r>
    <x v="0"/>
    <x v="1"/>
    <s v="Transversal"/>
    <s v="Si"/>
    <s v="75 (30/12/2024)"/>
    <s v="101-6"/>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r>
  <r>
    <x v="0"/>
    <x v="1"/>
    <s v="Transversal"/>
    <s v="Si"/>
    <n v="13"/>
    <s v="101-7"/>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r>
  <r>
    <x v="0"/>
    <x v="1"/>
    <s v="Transversal"/>
    <s v="Si"/>
    <n v="13"/>
    <s v="101-8"/>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r>
  <r>
    <x v="0"/>
    <x v="1"/>
    <s v="Transversal"/>
    <s v="Si"/>
    <n v="40"/>
    <s v="101-9"/>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5942694"/>
    <n v="15942694"/>
    <s v="No"/>
    <s v="N/A"/>
    <s v="Diego Armando Vanegas Páez"/>
    <s v="Jefe de Oficina Asesora"/>
    <n v="6012220601"/>
    <s v="diego.vanegas@upme.gov.co"/>
    <m/>
    <m/>
    <m/>
    <m/>
    <m/>
    <m/>
    <m/>
    <m/>
    <m/>
    <m/>
    <m/>
    <m/>
    <m/>
    <m/>
    <m/>
    <m/>
    <m/>
    <m/>
    <n v="15942694"/>
    <m/>
    <m/>
    <m/>
    <m/>
    <n v="15942694"/>
  </r>
  <r>
    <x v="0"/>
    <x v="1"/>
    <s v="Transversal"/>
    <s v="Si"/>
    <n v="41"/>
    <s v="101-10"/>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8000000"/>
    <n v="28000000"/>
    <s v="No"/>
    <s v="N/A"/>
    <s v="Diego Armando Vanegas Páez"/>
    <s v="Jefe de Oficina Asesora"/>
    <n v="6012220601"/>
    <s v="diego.vanegas@upme.gov.co"/>
    <m/>
    <m/>
    <m/>
    <m/>
    <m/>
    <m/>
    <m/>
    <m/>
    <m/>
    <m/>
    <m/>
    <m/>
    <m/>
    <m/>
    <m/>
    <m/>
    <n v="28000000"/>
    <m/>
    <m/>
    <n v="4500000"/>
    <m/>
    <n v="9000000"/>
    <m/>
    <n v="14500000"/>
  </r>
  <r>
    <x v="0"/>
    <x v="1"/>
    <s v="Transversal"/>
    <s v="Si"/>
    <n v="41"/>
    <s v="101-11"/>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n v="4000000"/>
    <m/>
    <n v="8000000"/>
    <m/>
    <n v="6525636"/>
  </r>
  <r>
    <x v="0"/>
    <x v="1"/>
    <s v="Transversal"/>
    <s v="Si"/>
    <n v="41"/>
    <s v="101-12"/>
    <s v="1 - Mejorar el direccionamiento estratégico y la gestión de los procesos frente a la ciudadanía."/>
    <s v="5 - DOCUMENTOS DE PLANEACIÓN"/>
    <s v="Realizar la programación y seguimiento a la ejecución de las políticas, estrategias, los planes y proyectos institucionales"/>
    <n v="43233701"/>
    <s v="C-2199-1900-4-53105B-2199056-0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n v="13142286"/>
    <m/>
    <m/>
    <n v="13142286"/>
  </r>
  <r>
    <x v="0"/>
    <x v="1"/>
    <s v="Transversal"/>
    <s v="Si"/>
    <n v="40"/>
    <s v="101-13"/>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m/>
    <n v="10000000"/>
    <m/>
    <n v="10000000"/>
    <n v="2000000"/>
    <n v="20000000"/>
  </r>
  <r>
    <x v="0"/>
    <x v="1"/>
    <s v="Transversal"/>
    <s v="Si"/>
    <n v="40"/>
    <s v="101-14"/>
    <s v="1 - Mejorar el direccionamiento estratégico y la gestión de los procesos frente a la ciudadanía."/>
    <s v="1 - SERVICIO DE IMPLEMENTACIÓN SISTEMAS DE GESTIÓN"/>
    <s v="Planificar y coordinar la apropiación e implementación del MIPG"/>
    <n v="43233701"/>
    <s v="C-2199-1900-4-53105B-2199062-02"/>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9647575"/>
    <n v="104789861"/>
    <m/>
    <n v="4857714"/>
  </r>
  <r>
    <x v="0"/>
    <x v="1"/>
    <s v="Transversal"/>
    <s v="Si"/>
    <n v="41"/>
    <s v="101-15"/>
    <s v="1 - Mejorar el direccionamiento estratégico y la gestión de los procesos frente a la ciudadanía."/>
    <s v="1 - SERVICIO DE IMPLEMENTACIÓN SISTEMAS DE GESTIÓN"/>
    <s v="Planificar y coordinar la apropiación e implementación del MIPG"/>
    <n v="84111600"/>
    <s v="C-2199-1900-4-53105B-2199062-02"/>
    <s v="Prestación de servicios profesionales y/o de apoyo a la gestión"/>
    <s v="101-15 Prestar los servicios para realizar ejercicio de pre auditoría de certificación y la auditoría de certificación de los sistemas de gestión implementados en la UPME."/>
    <s v="Agosto"/>
    <s v="Agosto"/>
    <s v="Noviembre"/>
    <n v="3"/>
    <s v="Meses"/>
    <s v="Contratación directa - Prestación de servicios profesionales"/>
    <s v="Propios - 20 - Ingresos corrientes"/>
    <n v="27319153"/>
    <n v="27319153"/>
    <s v="No"/>
    <s v="N/A"/>
    <s v="Diego Armando Vanegas Páez"/>
    <s v="Jefe de Oficina Asesora"/>
    <n v="6012220601"/>
    <s v="diego.vanegas@upme.gov.co"/>
    <m/>
    <m/>
    <m/>
    <m/>
    <m/>
    <m/>
    <m/>
    <m/>
    <m/>
    <m/>
    <m/>
    <m/>
    <m/>
    <m/>
    <m/>
    <m/>
    <m/>
    <m/>
    <m/>
    <m/>
    <n v="27319153"/>
    <m/>
    <m/>
    <n v="27319153"/>
  </r>
  <r>
    <x v="0"/>
    <x v="1"/>
    <s v="Transversal"/>
    <s v="Si"/>
    <n v="15"/>
    <s v="101-16"/>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r>
  <r>
    <x v="0"/>
    <x v="1"/>
    <s v="Transversal"/>
    <s v="Si"/>
    <n v="40"/>
    <s v="101-17"/>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m/>
    <n v="9000000"/>
    <n v="547575"/>
    <n v="17647575"/>
  </r>
  <r>
    <x v="0"/>
    <x v="1"/>
    <s v="Transversal"/>
    <s v="Si"/>
    <n v="4"/>
    <s v="101-18"/>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4509"/>
    <n v="30664509"/>
    <s v="No"/>
    <s v="N/A"/>
    <s v="Diego Armando Vanegas Páez"/>
    <s v="Jefe de Oficina Asesora"/>
    <n v="6012220601"/>
    <s v="diego.vanegas@upme.gov.co"/>
    <m/>
    <m/>
    <n v="15145959"/>
    <m/>
    <m/>
    <m/>
    <m/>
    <m/>
    <m/>
    <m/>
    <m/>
    <n v="678167"/>
    <m/>
    <n v="8000000"/>
    <m/>
    <n v="5134459"/>
    <n v="15516667"/>
    <n v="1333333"/>
    <m/>
    <n v="6666667"/>
    <m/>
    <m/>
    <m/>
    <n v="8850000"/>
  </r>
  <r>
    <x v="0"/>
    <x v="1"/>
    <s v="Transversal"/>
    <s v="Si"/>
    <n v="12"/>
    <s v="101-19"/>
    <s v="2 - Fortalecer la gestión de conocimiento para la planeación minero energética."/>
    <s v="3 - DOCUMENTOS METODOLÓGICOS"/>
    <s v="Realizar la implementación de un esquema organizativo y de gobernabilidad para la gestión del conocimiento"/>
    <s v="80101511;80111501;80111504"/>
    <s v="C-2199-1900-4-53105B-2199057-02"/>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509986"/>
    <n v="192509986"/>
    <s v="No"/>
    <s v="N/A"/>
    <s v="Diego Armando Vanegas Páez"/>
    <s v="Jefe de Oficina Asesora"/>
    <n v="6012220601"/>
    <s v="diego.vanegas@upme.gov.co"/>
    <m/>
    <m/>
    <m/>
    <m/>
    <m/>
    <m/>
    <n v="192000000"/>
    <m/>
    <m/>
    <m/>
    <m/>
    <m/>
    <m/>
    <m/>
    <m/>
    <n v="48000000"/>
    <m/>
    <m/>
    <m/>
    <n v="48127497"/>
    <m/>
    <n v="48127497"/>
    <m/>
    <n v="47745006"/>
  </r>
  <r>
    <x v="0"/>
    <x v="1"/>
    <s v="Transversal"/>
    <s v="Si"/>
    <n v="15"/>
    <s v="101-20"/>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r>
  <r>
    <x v="0"/>
    <x v="1"/>
    <s v="Transversal"/>
    <s v="Si"/>
    <n v="40"/>
    <s v="101-21"/>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r>
  <r>
    <x v="0"/>
    <x v="1"/>
    <s v="Transversal"/>
    <s v="Si"/>
    <n v="15"/>
    <s v="101-22"/>
    <s v="1 - Mejorar el direccionamiento estratégico y la gestión de los procesos frente a la ciudadanía."/>
    <s v="5 - DOCUMENTOS DE PLANEACIÓN"/>
    <s v="Realizar la programación y seguimiento a la ejecución de las políticas, estrategias, los planes y proyectos institucionales"/>
    <n v="43233501"/>
    <s v="C-2199-1900-4-53105B-2199056-0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m/>
    <m/>
    <n v="4351494"/>
    <m/>
    <m/>
    <n v="4351494"/>
  </r>
  <r>
    <x v="0"/>
    <x v="1"/>
    <s v="Transversal"/>
    <s v="Si"/>
    <n v="15"/>
    <s v="101-23"/>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43233501"/>
    <s v="C-2199-1900-4-53105B-2199062-02"/>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m/>
    <m/>
    <n v="3019398"/>
    <m/>
    <m/>
    <n v="3019398"/>
  </r>
  <r>
    <x v="0"/>
    <x v="1"/>
    <s v="Transversal"/>
    <s v="Si"/>
    <n v="41"/>
    <s v="101-24"/>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r>
  <r>
    <x v="0"/>
    <x v="1"/>
    <s v="Transversal"/>
    <s v="Si"/>
    <n v="40"/>
    <s v="101-25"/>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m/>
    <m/>
    <m/>
    <m/>
    <n v="352425"/>
    <n v="352425"/>
  </r>
  <r>
    <x v="0"/>
    <x v="1"/>
    <s v="Transversal"/>
    <s v="Si"/>
    <n v="41"/>
    <s v="101-26"/>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9474364"/>
    <n v="9474364"/>
    <s v="No"/>
    <s v="N/A"/>
    <s v="Verónica Tabares Muñoz"/>
    <s v="Jefe de Oficina Asesora"/>
    <n v="6012220601"/>
    <s v="veronica.tabares@upme.gov.co"/>
    <m/>
    <m/>
    <m/>
    <m/>
    <m/>
    <m/>
    <m/>
    <m/>
    <m/>
    <m/>
    <m/>
    <m/>
    <m/>
    <m/>
    <m/>
    <m/>
    <n v="9474364"/>
    <m/>
    <m/>
    <m/>
    <m/>
    <m/>
    <m/>
    <n v="9474364"/>
  </r>
  <r>
    <x v="0"/>
    <x v="1"/>
    <s v="Transversal"/>
    <s v="Si"/>
    <n v="41"/>
    <s v="101-27"/>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m/>
    <m/>
    <m/>
    <m/>
    <n v="3500000"/>
  </r>
  <r>
    <x v="0"/>
    <x v="2"/>
    <s v="Fondos"/>
    <s v="Si"/>
    <n v="47"/>
    <s v="180-1"/>
    <s v="1 - Mejorar la capacidad de los interesados en formular proyectos de inversión en el sector energético."/>
    <s v="2 - SERVICIO DE ASISTENCIA TÉCNICA"/>
    <s v="Capacitar interesados en la presentación de proyectos de inversión"/>
    <s v="N/A"/>
    <s v="C-2102-1900-5-53106A-2102071-02"/>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27952995"/>
    <n v="27952995"/>
    <s v="No"/>
    <s v="N/A"/>
    <s v="Maximiliano Bueno López"/>
    <s v="Jefe Oficina Gestión de Proyectos de Fondos"/>
    <n v="6012220601"/>
    <s v="maximilianobueno@upme.gov.co"/>
    <m/>
    <m/>
    <n v="1774730"/>
    <n v="1774730"/>
    <m/>
    <m/>
    <n v="704838"/>
    <n v="704838"/>
    <n v="826125"/>
    <n v="826125"/>
    <m/>
    <m/>
    <n v="3211135"/>
    <n v="3211135"/>
    <n v="351429"/>
    <m/>
    <m/>
    <n v="351429"/>
    <n v="3000000"/>
    <n v="3000000"/>
    <n v="7000000"/>
    <n v="7000000"/>
    <n v="7084738"/>
    <n v="7084738"/>
  </r>
  <r>
    <x v="0"/>
    <x v="2"/>
    <s v="Fondos"/>
    <s v="Si"/>
    <n v="47"/>
    <s v="180-2"/>
    <s v="1 - Mejorar la capacidad de los interesados en formular proyectos de inversión en el sector energético."/>
    <s v="2 - SERVICIO DE ASISTENCIA TÉCNICA"/>
    <s v="Capacitar organizaciones y usuarios en general en las regiones"/>
    <n v="80141607"/>
    <s v="C-2102-1900-5-53106A-2102071-02"/>
    <s v="Operador logístico"/>
    <s v="180-2 Prestación de los servicios de apoyo logístico para el desarrollo de la estrategia de comunicación y participación con actores nacionales y territoriales, así como para otros espacios interinstitucionales en el marco de la misionalidad de la entidad"/>
    <s v="Septiembre"/>
    <s v="Septiembre"/>
    <s v="Octubre"/>
    <n v="2"/>
    <s v="Meses"/>
    <s v="Contratación directa"/>
    <s v="Propios - 20 - Ingresos corrientes"/>
    <n v="7952995"/>
    <n v="7952995"/>
    <s v="No"/>
    <s v="N/A"/>
    <s v="Maximiliano Bueno López"/>
    <s v="Jefe Oficina Gestión de Proyectos de Fondos"/>
    <n v="6012220601"/>
    <s v="maximiliano.bueno@upme.gov.co"/>
    <m/>
    <m/>
    <m/>
    <m/>
    <m/>
    <m/>
    <m/>
    <m/>
    <m/>
    <m/>
    <m/>
    <m/>
    <m/>
    <m/>
    <m/>
    <m/>
    <m/>
    <m/>
    <n v="7952995"/>
    <m/>
    <m/>
    <n v="7952995"/>
    <m/>
    <m/>
  </r>
  <r>
    <x v="0"/>
    <x v="2"/>
    <s v="Fondos"/>
    <s v="Si"/>
    <s v="75 (30/12/2024)"/>
    <s v="180-3"/>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r>
  <r>
    <x v="0"/>
    <x v="2"/>
    <s v="Fondos"/>
    <s v="Si"/>
    <s v="75 (30/12/2024)"/>
    <s v="180-4"/>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r>
  <r>
    <x v="0"/>
    <x v="2"/>
    <s v="Fondos"/>
    <s v="Si"/>
    <n v="32"/>
    <s v="180-5"/>
    <s v="1 - Mejorar la capacidad de los interesados en formular proyectos de inversión en el sector energético."/>
    <s v="2 - DOCUMENTOS DE LINEAMIENTOS TÉCNICOS"/>
    <s v="Documento con la descripción de procesos, métodos y herramientas"/>
    <n v="81101516"/>
    <s v="C-2102-1900-5-53106A-2102008-02"/>
    <s v="Consultoría"/>
    <s v="180-5 Contratar consultoría para elaborar un módulo para un curso virtual de socialización y capacitación sobre los fondos de apoyo financiero del MME."/>
    <s v="Abril"/>
    <s v="Abril"/>
    <s v="Julio"/>
    <n v="5"/>
    <s v="Meses"/>
    <s v="Contratación régimen especial (con ofertas)  - Régimen especial"/>
    <s v="Propios - 20 - Ingresos corrientes"/>
    <n v="3051953"/>
    <n v="3051953"/>
    <s v="No"/>
    <s v="N/A"/>
    <s v="Maximiliano Bueno López"/>
    <s v="Jefe Oficina Gestión de Proyectos de Fondos"/>
    <n v="6012220601"/>
    <s v="maximilianobueno@upme.gov.co"/>
    <m/>
    <m/>
    <m/>
    <m/>
    <m/>
    <m/>
    <m/>
    <m/>
    <m/>
    <m/>
    <m/>
    <m/>
    <m/>
    <m/>
    <m/>
    <m/>
    <m/>
    <m/>
    <m/>
    <m/>
    <n v="3051953"/>
    <m/>
    <m/>
    <n v="3051953"/>
  </r>
  <r>
    <x v="0"/>
    <x v="2"/>
    <s v="Fondos"/>
    <s v="Si"/>
    <n v="44"/>
    <s v="180-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12681900"/>
    <n v="12681900"/>
    <s v="No"/>
    <s v="N/A"/>
    <s v="Maximiliano Bueno López"/>
    <s v="Jefe Oficina Gestión de Proyectos de Fondos"/>
    <n v="6012220601"/>
    <s v="maximilianobueno@upme.gov.co"/>
    <m/>
    <m/>
    <m/>
    <m/>
    <m/>
    <m/>
    <m/>
    <m/>
    <m/>
    <m/>
    <m/>
    <m/>
    <m/>
    <m/>
    <m/>
    <m/>
    <m/>
    <m/>
    <n v="12681900"/>
    <m/>
    <m/>
    <n v="4227300"/>
    <m/>
    <n v="8454600"/>
  </r>
  <r>
    <x v="0"/>
    <x v="2"/>
    <s v="Fondos"/>
    <s v="Si"/>
    <n v="28"/>
    <s v="180-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r>
  <r>
    <x v="0"/>
    <x v="2"/>
    <s v="Fondos"/>
    <s v="Si"/>
    <n v="32"/>
    <s v="180-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r>
  <r>
    <x v="0"/>
    <x v="2"/>
    <s v="Fondos"/>
    <s v="Si"/>
    <n v="32"/>
    <s v="180-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r>
  <r>
    <x v="0"/>
    <x v="2"/>
    <s v="Fondos"/>
    <s v="Si"/>
    <n v="28"/>
    <s v="180-10"/>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r>
  <r>
    <x v="0"/>
    <x v="2"/>
    <s v="Fondos"/>
    <s v="Si"/>
    <n v="28"/>
    <s v="180-11"/>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r>
  <r>
    <x v="0"/>
    <x v="2"/>
    <s v="Fondos"/>
    <s v="Si"/>
    <n v="28"/>
    <s v="180-12"/>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r>
  <r>
    <x v="0"/>
    <x v="2"/>
    <s v="Fondos"/>
    <s v="Si"/>
    <n v="28"/>
    <s v="180-13"/>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r>
  <r>
    <x v="0"/>
    <x v="2"/>
    <s v="Fondos"/>
    <s v="Si"/>
    <n v="28"/>
    <s v="180-14"/>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r>
  <r>
    <x v="0"/>
    <x v="2"/>
    <s v="Fondos"/>
    <s v="Si"/>
    <n v="28"/>
    <s v="180-1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r>
  <r>
    <x v="0"/>
    <x v="2"/>
    <s v="Fondos"/>
    <s v="Si"/>
    <n v="28"/>
    <s v="180-1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r>
  <r>
    <x v="0"/>
    <x v="2"/>
    <s v="Fondos"/>
    <s v="Si"/>
    <n v="32"/>
    <s v="180-1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r>
  <r>
    <x v="0"/>
    <x v="2"/>
    <s v="Fondos"/>
    <s v="Si"/>
    <n v="28"/>
    <s v="180-1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r>
  <r>
    <x v="0"/>
    <x v="2"/>
    <s v="Fondos"/>
    <s v="Si"/>
    <n v="24"/>
    <s v="180-1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r>
  <r>
    <x v="0"/>
    <x v="2"/>
    <s v="Fondos"/>
    <s v="Si"/>
    <n v="44"/>
    <s v="180-20"/>
    <s v="1 - Mejorar la capacidad de los interesados en formular proyectos de inversión en el sector energético."/>
    <s v="2 - DOCUMENTOS DE LINEAMIENTOS TÉCNICOS"/>
    <s v="Documento con los resultados de las validaciones"/>
    <s v="N/A"/>
    <s v="C-2102-1900-5-53106A-2102008-02"/>
    <s v="Planta temporal"/>
    <s v="180-20 Gastos de nómina Planta Temporal "/>
    <s v="Abril"/>
    <s v="Abril"/>
    <s v="Julio"/>
    <n v="8"/>
    <s v="Meses"/>
    <s v="Contratación directa - Prestación de servicios profesionales"/>
    <s v="Propios - 20 - Ingresos corrientes"/>
    <n v="301556073"/>
    <n v="301556073"/>
    <s v="No"/>
    <s v="N/A"/>
    <s v="Maximiliano Bueno López"/>
    <s v="Jefe Oficina Gestión de Proyectos de Fondos"/>
    <n v="6012220601"/>
    <s v="maximilianobueno@upme.gov.co"/>
    <m/>
    <m/>
    <m/>
    <m/>
    <m/>
    <m/>
    <m/>
    <m/>
    <m/>
    <m/>
    <m/>
    <m/>
    <m/>
    <m/>
    <m/>
    <m/>
    <m/>
    <m/>
    <m/>
    <m/>
    <n v="301556073"/>
    <n v="74588541"/>
    <m/>
    <n v="226967532"/>
  </r>
  <r>
    <x v="0"/>
    <x v="2"/>
    <s v="Fondos"/>
    <s v="Si"/>
    <n v="32"/>
    <s v="180-21"/>
    <s v="1 - Mejorar la capacidad de los interesados en formular proyectos de inversión en el sector energético."/>
    <s v="2 - DOCUMENTOS DE LINEAMIENTOS TÉCNICOS"/>
    <s v="Documento con los resultados de las validaciones"/>
    <n v="80131500"/>
    <s v="C-2102-1900-5-53106A-2102008-02"/>
    <s v="Arrendamientos"/>
    <s v="180-21 Alquilar espacios de oficina (coworking) en virtud del proyecto de modernización organizacional para la Unidad de Planeación Minero Energética."/>
    <s v="Abril"/>
    <s v="Abril"/>
    <s v="Julio"/>
    <n v="8"/>
    <s v="Meses"/>
    <s v="Contratación directa - Contratos de arrendamiento o adquisición de inmuebles"/>
    <s v="Propios - 20 - Ingresos corrientes"/>
    <n v="72292500"/>
    <n v="72292500"/>
    <s v="No"/>
    <s v="N/A"/>
    <s v="Maximiliano Bueno López"/>
    <s v="Jefe Oficina Gestión de Proyectos de Fondos"/>
    <n v="6012220601"/>
    <s v="maximilianobueno@upme.gov.co"/>
    <m/>
    <m/>
    <m/>
    <m/>
    <m/>
    <m/>
    <m/>
    <m/>
    <m/>
    <m/>
    <m/>
    <m/>
    <m/>
    <m/>
    <m/>
    <m/>
    <m/>
    <m/>
    <m/>
    <m/>
    <n v="46042500"/>
    <n v="22847500"/>
    <m/>
    <n v="49445000"/>
  </r>
  <r>
    <x v="0"/>
    <x v="2"/>
    <s v="Fondos"/>
    <s v="Si"/>
    <n v="29"/>
    <s v="180-22"/>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r>
  <r>
    <x v="0"/>
    <x v="2"/>
    <s v="Fondos"/>
    <s v="Si"/>
    <n v="7"/>
    <s v="180-23"/>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r>
  <r>
    <x v="0"/>
    <x v="2"/>
    <s v="Fondos"/>
    <s v="Si"/>
    <n v="29"/>
    <s v="180-24"/>
    <s v="1 - Mejorar la capacidad de los interesados en formular proyectos de inversión en el sector energético."/>
    <s v="2 - DOCUMENTOS DE LINEAMIENTOS TÉCNICOS"/>
    <s v="Documento con la descripción de procesos, métodos y herramientas"/>
    <n v="43233501"/>
    <s v="C-2102-1900-5-53106A-2102008-02"/>
    <s v="Software-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r>
  <r>
    <x v="0"/>
    <x v="2"/>
    <s v="Fondos"/>
    <s v="Si"/>
    <n v="32"/>
    <s v="180-2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n v="-1976667"/>
    <n v="3953333"/>
    <n v="1976667"/>
    <n v="5930000"/>
    <m/>
    <n v="5930000"/>
    <m/>
    <n v="13836667"/>
  </r>
  <r>
    <x v="0"/>
    <x v="2"/>
    <s v="Fondos"/>
    <s v="Si"/>
    <n v="32"/>
    <s v="180-2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977800"/>
    <n v="23977800"/>
    <s v="No"/>
    <s v="N/A"/>
    <s v="Manuel Peña Suarez"/>
    <s v="Jefe Oficina Gestión de Proyectos de Fondos"/>
    <n v="6012220601"/>
    <s v="manuel.pena@upme.govco"/>
    <m/>
    <m/>
    <m/>
    <m/>
    <m/>
    <m/>
    <m/>
    <m/>
    <m/>
    <m/>
    <m/>
    <m/>
    <n v="23977800"/>
    <m/>
    <m/>
    <n v="3596670"/>
    <n v="-399630"/>
    <n v="3996300"/>
    <n v="399630"/>
    <n v="3996300"/>
    <m/>
    <n v="3996300"/>
    <m/>
    <n v="8392230"/>
  </r>
  <r>
    <x v="0"/>
    <x v="2"/>
    <s v="Fondos"/>
    <s v="Si"/>
    <n v="28"/>
    <s v="180-2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34479900"/>
    <n v="34479900"/>
    <s v="No"/>
    <s v="N/A"/>
    <s v="Manuel Peña Suarez"/>
    <s v="Jefe Oficina Gestión de Proyectos de Fondos"/>
    <n v="6012220601"/>
    <s v="manuel.pena@upme.govco"/>
    <m/>
    <m/>
    <m/>
    <m/>
    <m/>
    <m/>
    <m/>
    <m/>
    <m/>
    <m/>
    <m/>
    <m/>
    <n v="31606575"/>
    <m/>
    <m/>
    <n v="574665"/>
    <n v="-2298660"/>
    <n v="5746650"/>
    <n v="5171985"/>
    <n v="5746650"/>
    <m/>
    <n v="5746650"/>
    <m/>
    <n v="16665285"/>
  </r>
  <r>
    <x v="0"/>
    <x v="2"/>
    <s v="Fondos"/>
    <s v="Si"/>
    <n v="32"/>
    <s v="180-2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n v="-1976667"/>
    <n v="3953333"/>
    <n v="1976667"/>
    <n v="5930000"/>
    <m/>
    <n v="5930000"/>
    <m/>
    <n v="13836667"/>
  </r>
  <r>
    <x v="0"/>
    <x v="2"/>
    <s v="Fondos"/>
    <s v="Si"/>
    <n v="32"/>
    <s v="180-29"/>
    <s v="1 - Mejorar la capacidad de los interesados en formular proyectos de inversión en el sector energético."/>
    <s v="2 - SERVICIO DE ASISTENCIA TÉCNICA"/>
    <s v="Capacitar organizaciones y usuarios en general en las regiones"/>
    <n v="80111620"/>
    <s v="C-2102-1900-5-53106A-2102071-02"/>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8661667"/>
    <m/>
    <n v="-1581334"/>
    <n v="4151000"/>
    <n v="2569667"/>
    <n v="5930000"/>
    <m/>
    <n v="5930000"/>
    <m/>
    <n v="13639000"/>
  </r>
  <r>
    <x v="0"/>
    <x v="2"/>
    <s v="Fondos"/>
    <s v="Si"/>
    <n v="32"/>
    <s v="180-30"/>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5080000"/>
    <n v="35080000"/>
    <s v="No"/>
    <s v="N/A"/>
    <s v="Manuel Peña Suarez"/>
    <s v="Jefe Oficina Gestión de Proyectos de Fondos"/>
    <n v="6012220601"/>
    <s v="manuel.pena@upme.govco"/>
    <m/>
    <m/>
    <m/>
    <m/>
    <m/>
    <m/>
    <m/>
    <m/>
    <m/>
    <m/>
    <m/>
    <m/>
    <m/>
    <m/>
    <n v="35080000"/>
    <m/>
    <m/>
    <n v="4677333"/>
    <m/>
    <n v="7016000"/>
    <m/>
    <n v="7016000"/>
    <m/>
    <n v="16370667"/>
  </r>
  <r>
    <x v="0"/>
    <x v="2"/>
    <s v="Fondos"/>
    <s v="Si"/>
    <n v="32"/>
    <s v="180-31"/>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24058650"/>
    <n v="24058650"/>
    <s v="No"/>
    <s v="N/A"/>
    <s v="Manuel Peña Suarez"/>
    <s v="Jefe Oficina Gestión de Proyectos de Fondos"/>
    <n v="6012220601"/>
    <s v="manuel.pena@upme.govco"/>
    <m/>
    <m/>
    <m/>
    <m/>
    <m/>
    <m/>
    <m/>
    <m/>
    <m/>
    <m/>
    <m/>
    <m/>
    <m/>
    <m/>
    <m/>
    <m/>
    <n v="16627380"/>
    <m/>
    <n v="7431270"/>
    <n v="2187150"/>
    <m/>
    <n v="4374300"/>
    <m/>
    <n v="17497200"/>
  </r>
  <r>
    <x v="0"/>
    <x v="2"/>
    <s v="Fondos"/>
    <s v="Si"/>
    <n v="32"/>
    <s v="180-32"/>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1730000"/>
    <n v="31730000"/>
    <s v="No"/>
    <s v="N/A"/>
    <s v="Manuel Peña Suarez"/>
    <s v="Jefe Oficina Gestión de Proyectos de Fondos"/>
    <n v="6012220601"/>
    <s v="manuel.pena@upme.govco"/>
    <m/>
    <m/>
    <m/>
    <m/>
    <m/>
    <m/>
    <m/>
    <m/>
    <m/>
    <m/>
    <m/>
    <m/>
    <m/>
    <m/>
    <n v="31730000"/>
    <m/>
    <m/>
    <n v="4230666"/>
    <m/>
    <n v="6346000"/>
    <m/>
    <n v="6346000"/>
    <m/>
    <n v="14807334"/>
  </r>
  <r>
    <x v="0"/>
    <x v="2"/>
    <s v="Fondos"/>
    <s v="Si"/>
    <n v="32"/>
    <s v="180-33"/>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9650000"/>
    <n v="29650000"/>
    <s v="No"/>
    <s v="N/A"/>
    <s v="Manuel Peña Suarez"/>
    <s v="Jefe Oficina Gestión de Proyectos de Fondos"/>
    <n v="6012220601"/>
    <s v="manuel.pena@upme.govco"/>
    <m/>
    <m/>
    <m/>
    <m/>
    <m/>
    <m/>
    <m/>
    <m/>
    <m/>
    <m/>
    <m/>
    <m/>
    <m/>
    <m/>
    <n v="29650000"/>
    <m/>
    <m/>
    <n v="3953333"/>
    <m/>
    <n v="5930000"/>
    <m/>
    <n v="5930000"/>
    <m/>
    <n v="13836667"/>
  </r>
  <r>
    <x v="0"/>
    <x v="2"/>
    <s v="Fondos"/>
    <s v="Si"/>
    <n v="32"/>
    <s v="180-34"/>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32307008"/>
    <n v="32307008"/>
    <s v="No"/>
    <s v="N/A"/>
    <s v="Manuel Peña Suarez"/>
    <s v="Jefe Oficina Gestión de Proyectos de Fondos"/>
    <n v="6012220601"/>
    <s v="manuel.pena@upme.govco"/>
    <m/>
    <m/>
    <m/>
    <m/>
    <m/>
    <m/>
    <m/>
    <m/>
    <m/>
    <m/>
    <m/>
    <m/>
    <m/>
    <m/>
    <n v="27365000"/>
    <m/>
    <n v="-1824333"/>
    <n v="3648667"/>
    <n v="6766341"/>
    <n v="5930000"/>
    <m/>
    <n v="5930000"/>
    <m/>
    <n v="16798341"/>
  </r>
  <r>
    <x v="0"/>
    <x v="2"/>
    <s v="Fondos"/>
    <s v="Si"/>
    <n v="40"/>
    <s v="180-3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m/>
    <n v="6000000"/>
    <m/>
    <n v="6000000"/>
    <m/>
    <n v="9000000"/>
  </r>
  <r>
    <x v="0"/>
    <x v="2"/>
    <s v="Fondos"/>
    <s v="Si"/>
    <n v="40"/>
    <s v="180-3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24000000"/>
    <n v="24000000"/>
    <s v="No"/>
    <s v="N/A"/>
    <s v="Manuel Peña Suarez"/>
    <s v="Jefe Oficina Gestión de Proyectos de Fondos"/>
    <n v="6012220601"/>
    <s v="manuel.pena@upme.govco"/>
    <m/>
    <m/>
    <m/>
    <m/>
    <m/>
    <m/>
    <m/>
    <m/>
    <m/>
    <m/>
    <m/>
    <m/>
    <m/>
    <m/>
    <m/>
    <m/>
    <n v="21000000"/>
    <m/>
    <m/>
    <n v="6000000"/>
    <m/>
    <n v="6000000"/>
    <m/>
    <n v="9000000"/>
  </r>
  <r>
    <x v="0"/>
    <x v="2"/>
    <s v="Fondos"/>
    <s v="Si"/>
    <n v="44"/>
    <s v="180-3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r>
  <r>
    <x v="0"/>
    <x v="2"/>
    <s v="Fondos"/>
    <s v="Si"/>
    <n v="44"/>
    <s v="180-38"/>
    <s v="1 - Mejorar la capacidad de los interesados en formular proyectos de inversión en el sector energético."/>
    <s v="2 - SERVICIO DE ASISTENCIA TÉCNICA"/>
    <s v="Capacitar organizaciones y usuarios en general en las regiones"/>
    <n v="80111620"/>
    <s v="C-2102-1900-5-53106A-2102071-02"/>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21000000"/>
    <n v="21000000"/>
    <s v="No"/>
    <s v="N/A"/>
    <s v="Manuel Peña Suarez"/>
    <s v="Jefe Oficina Gestión de Proyectos de Fondos"/>
    <n v="6012220601"/>
    <s v="manuel.pena@upme.govco"/>
    <m/>
    <m/>
    <m/>
    <m/>
    <m/>
    <m/>
    <m/>
    <m/>
    <m/>
    <m/>
    <m/>
    <m/>
    <m/>
    <m/>
    <m/>
    <m/>
    <m/>
    <m/>
    <n v="21000000"/>
    <m/>
    <m/>
    <n v="7000000"/>
    <m/>
    <n v="14000000"/>
  </r>
  <r>
    <x v="0"/>
    <x v="2"/>
    <s v="Fondos"/>
    <s v="Si"/>
    <n v="44"/>
    <s v="180-3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13141800"/>
    <n v="13141800"/>
    <s v="No"/>
    <s v="N/A"/>
    <s v="Manuel Peña Suarez"/>
    <s v="Jefe Oficina Gestión de Proyectos de Fondos"/>
    <n v="6012220601"/>
    <s v="manuel.pena@upme.govco"/>
    <m/>
    <m/>
    <m/>
    <m/>
    <m/>
    <m/>
    <m/>
    <m/>
    <m/>
    <m/>
    <m/>
    <m/>
    <m/>
    <m/>
    <m/>
    <m/>
    <m/>
    <m/>
    <n v="13141800"/>
    <m/>
    <m/>
    <n v="3285450"/>
    <m/>
    <n v="9856350"/>
  </r>
  <r>
    <x v="0"/>
    <x v="2"/>
    <s v="Fondos"/>
    <s v="Si"/>
    <n v="47"/>
    <s v="180-40"/>
    <s v="1 - Mejorar la capacidad de los interesados en formular proyectos de inversión en el sector energético."/>
    <s v="2 - SERVICIO DE ASISTENCIA TÉCNICA"/>
    <s v="Capacitar interesados en la presentación de proyectos de inversión"/>
    <n v="80141607"/>
    <s v="C-2102-1900-5-53106A-2102071-02"/>
    <s v="Operador logístico"/>
    <s v="180-40 Prestación de los servicios de apoyo logístico para el desarrollo de la estrategia de comunicación y participación con actores nacionales y territoriales, así como para otros espacios interinstitucionales en el marco de la misionalidad de la entida"/>
    <s v="Septiembre"/>
    <s v="Septiembre"/>
    <s v="Octubre"/>
    <n v="3"/>
    <s v="Meses"/>
    <s v="Contratación directa - Prestación de servicios profesionales "/>
    <s v="Propios - 20 - Ingresos corrientes"/>
    <n v="22047005"/>
    <n v="22047005"/>
    <s v="No"/>
    <s v="N/A"/>
    <s v="Manuel Peña Suarez"/>
    <s v="Jefe Oficina Gestión de Proyectos de Fondos"/>
    <n v="6012220601"/>
    <s v="manuel.pena@upme.govco"/>
    <m/>
    <m/>
    <m/>
    <m/>
    <m/>
    <m/>
    <m/>
    <m/>
    <m/>
    <m/>
    <m/>
    <m/>
    <m/>
    <m/>
    <m/>
    <m/>
    <m/>
    <m/>
    <n v="22047005"/>
    <m/>
    <m/>
    <n v="22047005"/>
    <m/>
    <m/>
  </r>
  <r>
    <x v="0"/>
    <x v="3"/>
    <s v="TIC"/>
    <s v="Si"/>
    <s v="75 (30/12/2024)"/>
    <s v="130-1"/>
    <s v="1 - Incrementar el desarrollo de los habilitadores transversales de la política de gobierno digital."/>
    <s v="1 - DOCUMENTO PARA LA PLANEACIÓN ESTRATÉGICA EN TI"/>
    <s v="Definir y estructurar las acciones tendientes a la apropiación e implementación de la política de Gobierno Digital"/>
    <n v="80111620"/>
    <s v="C-2199-1900-5-53105B-2199066-02"/>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r>
  <r>
    <x v="0"/>
    <x v="3"/>
    <s v="TIC"/>
    <s v="Si"/>
    <n v="36"/>
    <s v="130-2"/>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r>
  <r>
    <x v="0"/>
    <x v="3"/>
    <s v="TIC"/>
    <s v="Si"/>
    <s v="75 (30/12/2024)"/>
    <s v="130-3"/>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r>
  <r>
    <x v="0"/>
    <x v="3"/>
    <s v="TIC"/>
    <s v="Si"/>
    <s v="75 (30/12/2024)"/>
    <s v="130-4"/>
    <s v="1 - Incrementar el desarrollo de los habilitadores transversales de la política de gobierno digital."/>
    <s v="1 - DOCUMENTO PARA LA PLANEACIÓN ESTRATÉGICA EN TI"/>
    <s v="Definir y estructurar las acciones tendientes a la apropiación e implementación de la política de Gobierno Digital"/>
    <n v="80111620"/>
    <s v="C-2199-1900-5-53105B-2199066-02"/>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r>
  <r>
    <x v="0"/>
    <x v="3"/>
    <s v="TIC"/>
    <s v="Si"/>
    <n v="2"/>
    <s v="130-5"/>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m/>
    <n v="8300000"/>
    <n v="366000"/>
    <n v="8300000"/>
    <m/>
    <n v="5323000"/>
  </r>
  <r>
    <x v="0"/>
    <x v="3"/>
    <s v="TIC"/>
    <s v="Si"/>
    <n v="36"/>
    <s v="130-6"/>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r>
  <r>
    <x v="0"/>
    <x v="3"/>
    <s v="TIC"/>
    <s v="Si"/>
    <n v="2"/>
    <s v="130-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r>
  <r>
    <x v="0"/>
    <x v="3"/>
    <s v="TIC"/>
    <s v="Si"/>
    <n v="36"/>
    <s v="130-8"/>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r>
  <r>
    <x v="0"/>
    <x v="3"/>
    <s v="TIC"/>
    <s v="Si"/>
    <n v="36"/>
    <s v="130-9"/>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r>
  <r>
    <x v="0"/>
    <x v="3"/>
    <s v="TIC"/>
    <s v="Si"/>
    <n v="36"/>
    <s v="130-10"/>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r>
  <r>
    <x v="0"/>
    <x v="3"/>
    <s v="TIC"/>
    <s v="Si"/>
    <n v="30"/>
    <s v="130-11"/>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n v="1892026"/>
    <m/>
    <n v="1892026"/>
    <m/>
    <n v="1892025"/>
  </r>
  <r>
    <x v="0"/>
    <x v="3"/>
    <s v="TIC"/>
    <s v="Si"/>
    <s v="75 (30/12/2024)"/>
    <s v="130-12"/>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4804000"/>
    <m/>
    <n v="4804000"/>
    <m/>
    <n v="12941208"/>
  </r>
  <r>
    <x v="0"/>
    <x v="3"/>
    <s v="TIC"/>
    <s v="Si"/>
    <n v="2"/>
    <s v="130-13"/>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r>
  <r>
    <x v="0"/>
    <x v="3"/>
    <s v="TIC"/>
    <s v="Si"/>
    <n v="2"/>
    <s v="130-14"/>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80111620"/>
    <s v="C-2199-1900-5-53105B-2199067-02"/>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r>
  <r>
    <x v="0"/>
    <x v="3"/>
    <s v="TIC"/>
    <s v="Si"/>
    <n v="36"/>
    <s v="130-15"/>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r>
  <r>
    <x v="0"/>
    <x v="3"/>
    <s v="TIC"/>
    <s v="Si"/>
    <n v="42"/>
    <s v="130-16"/>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r>
  <r>
    <x v="0"/>
    <x v="3"/>
    <s v="TIC"/>
    <s v="Si"/>
    <s v="75 (30/12/2024)"/>
    <s v="130-17"/>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r>
  <r>
    <x v="0"/>
    <x v="3"/>
    <s v="TIC"/>
    <s v="Si"/>
    <s v="75 (30/12/2024)"/>
    <s v="130-18"/>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r>
  <r>
    <x v="0"/>
    <x v="3"/>
    <s v="TIC"/>
    <s v="Si"/>
    <n v="36"/>
    <s v="130-19"/>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r>
  <r>
    <x v="0"/>
    <x v="3"/>
    <s v="TIC"/>
    <s v="Si"/>
    <n v="42"/>
    <s v="130-20"/>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r>
  <r>
    <x v="0"/>
    <x v="3"/>
    <s v="TIC"/>
    <s v="Si"/>
    <n v="42"/>
    <s v="130-21"/>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r>
  <r>
    <x v="0"/>
    <x v="3"/>
    <s v="TIC"/>
    <s v="Si"/>
    <s v="75 (30/12/2024)"/>
    <s v="130-22"/>
    <s v="1 - Incrementar el desarrollo de los habilitadores transversales de la política de gobierno digital."/>
    <s v="1 - DOCUMENTO PARA LA PLANEACIÓN ESTRATÉGICA EN TI"/>
    <s v="Mantener y fortalecer el modelo Operativo de TI"/>
    <n v="43233201"/>
    <s v="C-2199-1900-5-53105B-2199066-02"/>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r>
  <r>
    <x v="0"/>
    <x v="3"/>
    <s v="TIC"/>
    <s v="Si"/>
    <n v="42"/>
    <s v="130-23"/>
    <s v="1 - Incrementar el desarrollo de los habilitadores transversales de la política de gobierno digital."/>
    <s v="1 - DOCUMENTO PARA LA PLANEACIÓN ESTRATÉGICA EN TI"/>
    <s v="Mantener y fortalecer el modelo Operativo de TI"/>
    <n v="43233203"/>
    <s v="C-2199-1900-5-53105B-2199066-02"/>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r>
  <r>
    <x v="0"/>
    <x v="3"/>
    <s v="TIC"/>
    <s v="Si"/>
    <n v="36"/>
    <s v="130-24"/>
    <s v="2 - Aumentar la capacidad institucional a nivel de arquitectura tecnológica y de sistemas de información."/>
    <s v="1 - SERVICIOS TECNOLÓGICOS"/>
    <s v="Robustecer el nivel de madurez de la estrategia de infraestructura y soluciones en la nube"/>
    <n v="43232804"/>
    <s v="C-2199-1900-5-53105B-2199067-02"/>
    <s v="Software- Suscripciones"/>
    <s v="130-24 Adquirir la renovación de la suscripción anual del servicio especializado SolarWinds Hybrid Cloud Observability Advanced A250, destinada a la gestión y el monitoreo centralizado de la infraestructura tecnológica de la Entidad, con una capacidad par"/>
    <s v="Octubre"/>
    <s v="Octubre"/>
    <s v="Noviembre"/>
    <n v="12"/>
    <s v="Meses"/>
    <s v="Contratación directa "/>
    <s v="Propios - 20 - Ingresos corrientes"/>
    <n v="66749718"/>
    <n v="66749718"/>
    <s v="No"/>
    <s v="N/A"/>
    <s v="Eric Mauricio Vargas Forero"/>
    <s v="Jefe Oficina de Tecnologias de la Informacion"/>
    <n v="6012220601"/>
    <s v="eric.vargas@upme.gov.co"/>
    <m/>
    <m/>
    <m/>
    <m/>
    <m/>
    <m/>
    <m/>
    <m/>
    <m/>
    <m/>
    <m/>
    <m/>
    <m/>
    <m/>
    <m/>
    <m/>
    <m/>
    <m/>
    <n v="66749718"/>
    <m/>
    <m/>
    <m/>
    <m/>
    <n v="66749718"/>
  </r>
  <r>
    <x v="0"/>
    <x v="3"/>
    <s v="TIC"/>
    <s v="Si"/>
    <n v="16"/>
    <s v="130-25"/>
    <s v="2 - Aumentar la capacidad institucional a nivel de arquitectura tecnológica y de sistemas de información."/>
    <s v="1 - SERVICIOS TECNOLÓGICOS"/>
    <s v="Robustecer el nivel de madurez de la estrategia de infraestructura y soluciones en la nube"/>
    <n v="43233204"/>
    <s v="C-2199-1900-5-53105B-2199067-02"/>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r>
  <r>
    <x v="0"/>
    <x v="3"/>
    <s v="TIC"/>
    <s v="Si"/>
    <s v="75 (30/12/2024)"/>
    <s v="130-26"/>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26 Renovar el licencimiento y soporte de solución de backup."/>
    <s v="Septiembre"/>
    <s v="Octubre"/>
    <s v="Noviembre"/>
    <n v="12"/>
    <s v="Meses"/>
    <s v="Contratación directa "/>
    <s v="Propios - 20 - Ingresos corrientes"/>
    <n v="111405278"/>
    <n v="111405278"/>
    <s v="No"/>
    <s v="N/A"/>
    <s v="Eric Mauricio Vargas Forero"/>
    <s v="Jefe Oficina de Tecnologias de la Informacion"/>
    <n v="6012220601"/>
    <s v="eric.vargas@upme.gov.co"/>
    <m/>
    <m/>
    <m/>
    <m/>
    <m/>
    <m/>
    <m/>
    <m/>
    <m/>
    <m/>
    <m/>
    <m/>
    <m/>
    <m/>
    <m/>
    <m/>
    <m/>
    <m/>
    <m/>
    <m/>
    <n v="111405278"/>
    <m/>
    <m/>
    <n v="111405278"/>
  </r>
  <r>
    <x v="0"/>
    <x v="3"/>
    <s v="TIC"/>
    <s v="Si"/>
    <n v="42"/>
    <s v="130-27"/>
    <s v="2 - Aumentar la capacidad institucional a nivel de arquitectura tecnológica y de sistemas de información."/>
    <s v="1 - SERVICIOS TECNOLÓGICOS"/>
    <s v="Robustecer el nivel de madurez de la estrategia de infraestructura y soluciones en la nube"/>
    <n v="81112003"/>
    <s v="C-2199-1900-5-53105B-2199067-02"/>
    <s v="Software- Nube pública o privada"/>
    <s v="130-27 Adquirir el servicio de nube para Backup y DRP                                                "/>
    <s v="Septiembre"/>
    <s v="Octubre"/>
    <s v="Octubre"/>
    <n v="12"/>
    <s v="Meses"/>
    <s v="Seléccion abreviada - acuerdo marco"/>
    <s v="Propios - 20 - Ingresos corrientes"/>
    <n v="142354792"/>
    <n v="142354792"/>
    <s v="No"/>
    <s v="N/A"/>
    <s v="Eric Mauricio Vargas Forero"/>
    <s v="Jefe Oficina de Tecnologias de la Informacion"/>
    <n v="6012220601"/>
    <s v="eric.vargas@upme.gov.co"/>
    <m/>
    <m/>
    <m/>
    <m/>
    <m/>
    <m/>
    <m/>
    <m/>
    <m/>
    <m/>
    <m/>
    <m/>
    <m/>
    <m/>
    <m/>
    <m/>
    <m/>
    <m/>
    <n v="142354792"/>
    <m/>
    <m/>
    <m/>
    <m/>
    <n v="142354792"/>
  </r>
  <r>
    <x v="0"/>
    <x v="3"/>
    <s v="TIC"/>
    <s v="Si"/>
    <n v="2"/>
    <s v="130-28"/>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81112210"/>
    <s v="C-2199-1900-5-53105B-2199067-02"/>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r>
  <r>
    <x v="0"/>
    <x v="3"/>
    <s v="TIC"/>
    <s v="Si"/>
    <n v="36"/>
    <s v="130-29"/>
    <s v="2 - Aumentar la capacidad institucional a nivel de arquitectura tecnológica y de sistemas de información."/>
    <s v="1 - SERVICIOS TECNOLÓGICOS"/>
    <s v="Robustecer el nivel de madurez de la estrategia de infraestructura y soluciones en la nube"/>
    <n v="43233600"/>
    <s v="C-2199-1900-5-53105B-2199067-02"/>
    <s v="Software-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Agosto"/>
    <n v="12"/>
    <s v="Meses"/>
    <s v="Contratación directa "/>
    <s v="Propios - 20 - Ingresos corrientes"/>
    <n v="210000000"/>
    <n v="210000000"/>
    <s v="No"/>
    <s v="N/A"/>
    <s v="Eric Mauricio Vargas Forero"/>
    <s v="Jefe Oficina de Tecnologias de la Informacion"/>
    <n v="6012220601"/>
    <s v="eric.vargas@upme.gov.co"/>
    <m/>
    <m/>
    <m/>
    <m/>
    <m/>
    <m/>
    <m/>
    <m/>
    <m/>
    <m/>
    <m/>
    <m/>
    <m/>
    <m/>
    <m/>
    <m/>
    <m/>
    <m/>
    <n v="210000000"/>
    <m/>
    <m/>
    <m/>
    <m/>
    <n v="210000000"/>
  </r>
  <r>
    <x v="0"/>
    <x v="3"/>
    <s v="TIC"/>
    <s v="Si"/>
    <n v="42"/>
    <s v="130-30"/>
    <s v="2 - Aumentar la capacidad institucional a nivel de arquitectura tecnológica y de sistemas de información."/>
    <s v="1 - SERVICIOS TECNOLÓGICOS"/>
    <s v="Robustecer el nivel de madurez de la estrategia de infraestructura y soluciones en la nube"/>
    <n v="43233501"/>
    <s v="C-2199-1900-5-53105B-2199067-02"/>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r>
  <r>
    <x v="0"/>
    <x v="3"/>
    <s v="TIC"/>
    <s v="Si"/>
    <s v="75 (30/12/2024)"/>
    <s v="130-31"/>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31 Adquirir el canal de backup junto con la renovacion del segmento de prefijo IPV6 ante LACNIC."/>
    <s v="Febrero"/>
    <s v="Marzo"/>
    <s v="Abril"/>
    <n v="12"/>
    <s v="Meses"/>
    <s v="Contratación directa "/>
    <s v="Propios - 20 - Ingresos corrientes"/>
    <n v="15000000"/>
    <n v="15000000"/>
    <s v="No"/>
    <s v="N/A"/>
    <s v="Eric Mauricio Vargas Forero"/>
    <s v="Jefe Oficina de Tecnologias de la Informacion"/>
    <n v="6012220601"/>
    <s v="eric.vargas@upme.gov.co"/>
    <m/>
    <m/>
    <m/>
    <m/>
    <m/>
    <m/>
    <m/>
    <m/>
    <m/>
    <m/>
    <m/>
    <m/>
    <m/>
    <m/>
    <m/>
    <m/>
    <m/>
    <m/>
    <m/>
    <m/>
    <n v="15000000"/>
    <m/>
    <m/>
    <n v="15000000"/>
  </r>
  <r>
    <x v="0"/>
    <x v="3"/>
    <s v="TIC"/>
    <s v="Si"/>
    <n v="32"/>
    <s v="130-32"/>
    <s v="2 - Aumentar la capacidad institucional a nivel de arquitectura tecnológica y de sistemas de información."/>
    <s v="1 - SERVICIOS TECNOLÓGICOS"/>
    <s v="Robustecer el nivel de madurez de la estrategia de infraestructura y soluciones en la nube"/>
    <n v="43232605"/>
    <s v="C-2199-1900-5-53105B-2199067-02"/>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r>
  <r>
    <x v="0"/>
    <x v="3"/>
    <s v="TIC"/>
    <s v="Si"/>
    <s v="75 (30/12/2024)"/>
    <s v="130-33"/>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43232201"/>
    <s v="C-2199-1900-5-53105B-2199067-02"/>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r>
  <r>
    <x v="0"/>
    <x v="3"/>
    <s v="TIC"/>
    <s v="Si"/>
    <s v="75 (30/12/2024)"/>
    <s v="130-34"/>
    <s v="2 - Aumentar la capacidad institucional a nivel de arquitectura tecnológica y de sistemas de información."/>
    <s v="1 - SERVICIOS TECNOLÓGICOS"/>
    <s v="Robustecer el nivel de madurez de la estrategia de infraestructura y soluciones en la nube"/>
    <n v="43232201"/>
    <s v="C-2199-1900-5-53105B-2199067-02"/>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r>
  <r>
    <x v="0"/>
    <x v="3"/>
    <s v="TIC"/>
    <s v="Si"/>
    <n v="30"/>
    <s v="130-35"/>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r>
  <r>
    <x v="0"/>
    <x v="3"/>
    <s v="TIC"/>
    <s v="Si"/>
    <n v="42"/>
    <s v="130-36"/>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8000000"/>
    <n v="28000000"/>
    <s v="No"/>
    <s v="N/A"/>
    <s v="Eric Mauricio Vargas Forero"/>
    <s v="Jefe Oficina de Tecnologias de la Informacion"/>
    <n v="6012220601"/>
    <s v="eric.vargas@upme.gov.co"/>
    <m/>
    <m/>
    <m/>
    <m/>
    <m/>
    <m/>
    <m/>
    <m/>
    <m/>
    <m/>
    <m/>
    <m/>
    <m/>
    <m/>
    <m/>
    <m/>
    <n v="25600000"/>
    <m/>
    <m/>
    <n v="4000000"/>
    <m/>
    <n v="8000000"/>
    <m/>
    <n v="13600000"/>
  </r>
  <r>
    <x v="0"/>
    <x v="3"/>
    <s v="TIC"/>
    <s v="Si"/>
    <n v="36"/>
    <s v="130-3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m/>
    <m/>
    <n v="8764000"/>
    <m/>
    <m/>
  </r>
  <r>
    <x v="0"/>
    <x v="3"/>
    <s v="TIC"/>
    <s v="Si"/>
    <n v="36"/>
    <s v="130-38"/>
    <s v="2 - Aumentar la capacidad institucional a nivel de arquitectura tecnológica y de sistemas de información."/>
    <s v="1 - SERVICIOS TECNOLÓGICOS"/>
    <s v="Robustecer el nivel de madurez de la estrategia de infraestructura y soluciones en la nube"/>
    <s v="43233200;81111800;81111801;81112208"/>
    <s v="C-2199-1900-5-53105B-2199067-02"/>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n v="162075042"/>
    <m/>
    <m/>
    <m/>
    <m/>
    <n v="162075042"/>
  </r>
  <r>
    <x v="0"/>
    <x v="3"/>
    <s v="TIC"/>
    <s v="Si"/>
    <s v="75 (30/12/2024)"/>
    <s v="130-39"/>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s v="43233200;81111800;81111801;81112208"/>
    <s v="C-2199-1900-5-53105B-2199067-02"/>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n v="4620000"/>
    <m/>
    <m/>
    <m/>
    <m/>
    <n v="4620000"/>
  </r>
  <r>
    <x v="0"/>
    <x v="3"/>
    <s v="TIC"/>
    <s v="Si"/>
    <n v="30"/>
    <s v="130-40"/>
    <s v="2 - Aumentar la capacidad institucional a nivel de arquitectura tecnológica y de sistemas de información."/>
    <s v="1 - SERVICIOS TECNOLÓGICOS"/>
    <s v="Robustecer el nivel de madurez de la estrategia de infraestructura y soluciones en la nube"/>
    <s v="43222501, 43222503, 43222504, 43222609, 43233205"/>
    <s v="C-2199-1900-5-53105B-2199067-02"/>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m/>
    <m/>
    <m/>
    <m/>
    <n v="199832164"/>
  </r>
  <r>
    <x v="0"/>
    <x v="3"/>
    <s v="TIC"/>
    <s v="Si"/>
    <n v="30"/>
    <s v="130-41"/>
    <s v="2 - Aumentar la capacidad institucional a nivel de arquitectura tecnológica y de sistemas de información."/>
    <s v="1 - SERVICIOS TECNOLÓGICOS"/>
    <s v="Robustecer el nivel de madurez de la estrategia de infraestructura y soluciones en la nube"/>
    <s v="43231507;43232103;43232304;81112200;81112100"/>
    <s v="C-2199-1900-5-53105B-2199067-02"/>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r>
  <r>
    <x v="0"/>
    <x v="3"/>
    <s v="TIC"/>
    <s v="Si"/>
    <n v="15"/>
    <s v="130-42"/>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r>
  <r>
    <x v="0"/>
    <x v="3"/>
    <s v="TIC"/>
    <s v="Si"/>
    <n v="9"/>
    <s v="130-43"/>
    <s v="2 - Aumentar la capacidad institucional a nivel de arquitectura tecnológica y de sistemas de información."/>
    <s v="1 - SERVICIOS TECNOLÓGICOS"/>
    <s v="Robustecer el nivel de madurez de la estrategia de infraestructura y soluciones en la nube"/>
    <n v="43222501"/>
    <s v="C-2199-1900-5-53105B-2199067-02"/>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m/>
    <m/>
    <m/>
    <m/>
    <m/>
    <m/>
    <n v="49.64"/>
  </r>
  <r>
    <x v="0"/>
    <x v="3"/>
    <s v="TIC"/>
    <s v="Si"/>
    <n v="30"/>
    <s v="130-44"/>
    <s v="3 - Mejorar la implementación del modelo de Gestión de Información Institucional."/>
    <s v="1 - SERVICIOS DE INFORMACIÓN IMPLEMENTADOS"/>
    <s v="Identificar y apropiar soluciones de TI"/>
    <n v="43222501"/>
    <s v="C-2199-1900-5-53105B-2199065-02"/>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r>
  <r>
    <x v="0"/>
    <x v="3"/>
    <s v="TIC"/>
    <s v="Si"/>
    <n v="12"/>
    <s v="130-45"/>
    <s v="3 - Mejorar la implementación del modelo de Gestión de Información Institucional."/>
    <s v="1 - SERVICIOS DE INFORMACIÓN IMPLEMENTADOS"/>
    <s v="Realizar la adopción del modelo de gestión de Información Institucional"/>
    <s v="43231507;43232103;43232304;81112200;81112100"/>
    <s v="C-2199-1900-5-53105B-2199065-02"/>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r>
  <r>
    <x v="0"/>
    <x v="3"/>
    <s v="TIC"/>
    <s v="Si"/>
    <n v="16"/>
    <s v="130-46"/>
    <s v="2 - Aumentar la capacidad institucional a nivel de arquitectura tecnológica y de sistemas de informaciòn"/>
    <s v="1 - SERVICIOS TECNOLÓGICOS"/>
    <s v="Robustecer el nivel de madurez de la estrategia de infraestructura y soluciones en la nube"/>
    <n v="43231513"/>
    <s v="C-2199-1900-5-53105B-2199067-02"/>
    <s v="Software - Licencias"/>
    <s v="130-46 Adquirir el canal de backup junto con la renovacion del segmento de prefijo IPV6 ante LACNIC."/>
    <s v="Febrero"/>
    <s v="Marzo"/>
    <s v="Abril"/>
    <n v="12"/>
    <s v="Meses"/>
    <s v="Contratación directa "/>
    <s v="Propios - 20 - Ingresos corrientes"/>
    <n v="20000000"/>
    <n v="20000000"/>
    <s v="No"/>
    <s v="N/A"/>
    <s v="Eric Mauricio Vargas Forero"/>
    <s v="Jefe Oficina de Tecnologias de la Informacion"/>
    <n v="6012220601"/>
    <s v="eric.vargas@upme.gov.co"/>
    <m/>
    <m/>
    <m/>
    <m/>
    <m/>
    <m/>
    <m/>
    <m/>
    <m/>
    <m/>
    <m/>
    <m/>
    <m/>
    <m/>
    <m/>
    <m/>
    <m/>
    <m/>
    <m/>
    <m/>
    <n v="20000000"/>
    <m/>
    <m/>
    <n v="20000000"/>
  </r>
  <r>
    <x v="0"/>
    <x v="3"/>
    <s v="TIC"/>
    <s v="Si"/>
    <n v="32"/>
    <s v="130-4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r>
  <r>
    <x v="0"/>
    <x v="3"/>
    <s v="TIC"/>
    <s v="Si"/>
    <n v="3"/>
    <s v="130-48"/>
    <s v="2 - Aumentar la capacidad institucional a nivel de arquitectura tecnológica y de sistemas de informaciòn"/>
    <s v="1 - SERVICIOS TECNOLÓGICOS"/>
    <s v="Robustecer el nivel de madurez de la estrategia de infraestructura y soluciones en la nube"/>
    <n v="81111811"/>
    <s v="C-2199-1900-5-53105B-2199067-02"/>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m/>
    <m/>
    <m/>
    <m/>
    <n v="16671529"/>
  </r>
  <r>
    <x v="0"/>
    <x v="3"/>
    <s v="TIC"/>
    <s v="Si"/>
    <n v="32"/>
    <s v="130-49"/>
    <s v="3 - Mejorar la implementación del modelo de Gestión de Información Institucional."/>
    <s v="1 - SERVICIOS DE INFORMACIÓN IMPLEMENTADOS"/>
    <s v="Identificar y apropiar soluciones de TI"/>
    <n v="43232804"/>
    <s v="C-2199-1900-5-53105B-2199065-02"/>
    <s v="Software - Suscripciones"/>
    <s v="130-49 Adquirir la renovación de la suscripción anual del servicio especializado SolarWinds Hybrid Cloud Observability Advanced A250, destinada a la gestión y el monitoreo centralizado de la infraestructura tecnológica de la Entidad, con una capacidad par"/>
    <s v="Octubre"/>
    <s v="Noviembre"/>
    <s v="Noviembre"/>
    <n v="12"/>
    <s v="Meses"/>
    <s v="Contratación directa "/>
    <s v="Propios - 20 - Ingresos corrientes"/>
    <n v="32093394"/>
    <n v="32093394"/>
    <s v="No"/>
    <s v="N/A"/>
    <s v="Eric Mauricio Vargas Forero"/>
    <s v="Jefe Oficina de Tecnologias de la Informacion"/>
    <n v="6012220601"/>
    <s v="eric.vargas@upme.gov.co"/>
    <m/>
    <m/>
    <m/>
    <m/>
    <m/>
    <m/>
    <m/>
    <m/>
    <m/>
    <m/>
    <m/>
    <m/>
    <m/>
    <m/>
    <m/>
    <m/>
    <m/>
    <m/>
    <m/>
    <m/>
    <n v="32093394"/>
    <m/>
    <m/>
    <n v="32093394"/>
  </r>
  <r>
    <x v="0"/>
    <x v="3"/>
    <s v="TIC"/>
    <s v="Si"/>
    <n v="32"/>
    <s v="130-50"/>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r>
  <r>
    <x v="0"/>
    <x v="3"/>
    <s v="TIC"/>
    <s v="Si"/>
    <n v="30"/>
    <s v="130-51"/>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6000000"/>
    <m/>
    <n v="5923923"/>
  </r>
  <r>
    <x v="0"/>
    <x v="3"/>
    <s v="TIC"/>
    <s v="Si"/>
    <n v="30"/>
    <s v="130-52"/>
    <s v="3 - Mejorar la implementación del modelo de Gestión de Información Institucional."/>
    <s v="1 - SERVICIOS DE INFORMACIÓN IMPLEMENTADOS"/>
    <s v="Identificar y apropiar soluciones de TI"/>
    <n v="81112003"/>
    <s v="C-2199-1900-5-53105B-2199065-02"/>
    <s v="Software - Nube pública o privada"/>
    <s v="130-52 Adquirir el servicio de nube para Backup y DRP"/>
    <s v="Septiembre"/>
    <s v="Octubre"/>
    <s v="Octubre"/>
    <n v="12"/>
    <s v="Meses"/>
    <s v="Seléccion abreviada - acuerdo marco"/>
    <s v="Propios - 20 - Ingresos corrientes"/>
    <n v="18309451"/>
    <n v="18309451"/>
    <s v="No"/>
    <s v="N/A"/>
    <s v="Eric Mauricio Vargas Forero"/>
    <s v="Jefe Oficina de Tecnologias de la Informacion"/>
    <n v="6012220601"/>
    <s v="eric.vargas@upme.gov.co"/>
    <m/>
    <m/>
    <m/>
    <m/>
    <m/>
    <m/>
    <m/>
    <m/>
    <m/>
    <m/>
    <m/>
    <m/>
    <m/>
    <m/>
    <m/>
    <m/>
    <m/>
    <m/>
    <n v="18309451"/>
    <m/>
    <m/>
    <m/>
    <m/>
    <n v="18309451"/>
  </r>
  <r>
    <x v="0"/>
    <x v="3"/>
    <s v="TIC"/>
    <s v="Si"/>
    <n v="32"/>
    <s v="130-53"/>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2186000"/>
    <n v="2186000"/>
    <s v="No"/>
    <s v="N/A"/>
    <s v="Eric Mauricio Vargas Forero"/>
    <s v="Jefe Oficina de Tecnologias de la Informacion"/>
    <n v="6012220601"/>
    <s v="eric.vargas@upme.gov.co"/>
    <m/>
    <m/>
    <m/>
    <m/>
    <m/>
    <m/>
    <m/>
    <m/>
    <m/>
    <m/>
    <m/>
    <m/>
    <m/>
    <m/>
    <n v="2186000"/>
    <m/>
    <n v="-437200"/>
    <n v="1748800"/>
    <m/>
    <m/>
    <m/>
    <m/>
    <m/>
    <m/>
  </r>
  <r>
    <x v="0"/>
    <x v="3"/>
    <s v="TIC"/>
    <s v="Si"/>
    <n v="36"/>
    <s v="130-54"/>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16000000"/>
    <n v="16000000"/>
    <s v="No"/>
    <s v="N/A"/>
    <s v="Eric Mauricio Vargas Forero"/>
    <s v="Jefe Oficina de Tecnologias de la Informacion"/>
    <n v="6012220601"/>
    <s v="eric.vargas@upme.gov.co"/>
    <m/>
    <m/>
    <m/>
    <m/>
    <m/>
    <m/>
    <m/>
    <m/>
    <m/>
    <m/>
    <m/>
    <m/>
    <m/>
    <m/>
    <m/>
    <m/>
    <m/>
    <m/>
    <m/>
    <m/>
    <m/>
    <m/>
    <m/>
    <m/>
  </r>
  <r>
    <x v="0"/>
    <x v="3"/>
    <s v="TIC"/>
    <s v="Si"/>
    <n v="42"/>
    <s v="130-55"/>
    <s v="2 - Aumentar la capacidad institucional a nivel de arquitectura tecnológica y de sistemas de informaciòn"/>
    <s v="1 - SERVICIOS TECNOLÓGICOS"/>
    <s v="Robustecer el nivel de madurez de la estrategia de infraestructura y soluciones en la nube"/>
    <n v="81112210"/>
    <s v="C-2199-1900-5-53105B-2199067-02"/>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r>
  <r>
    <x v="0"/>
    <x v="3"/>
    <s v="TIC"/>
    <s v="Si"/>
    <n v="42"/>
    <s v="130-56"/>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3141800"/>
    <n v="13141800"/>
    <s v="No"/>
    <s v="N/A"/>
    <s v="Eric Mauricio Vargas Forero"/>
    <s v="Jefe Oficina de Tecnologias de la Informacion"/>
    <n v="6012220601"/>
    <s v="eric.vargas@upme.gov.co"/>
    <m/>
    <m/>
    <m/>
    <m/>
    <m/>
    <m/>
    <m/>
    <m/>
    <m/>
    <m/>
    <m/>
    <m/>
    <m/>
    <m/>
    <m/>
    <m/>
    <n v="11170530"/>
    <m/>
    <m/>
    <n v="3285450"/>
    <m/>
    <n v="3285450"/>
    <m/>
    <n v="4599630"/>
  </r>
  <r>
    <x v="0"/>
    <x v="3"/>
    <s v="TIC"/>
    <s v="Si"/>
    <n v="42"/>
    <s v="130-57"/>
    <s v="2 - Aumentar la capacidad institucional a nivel de arquitectura tecnológica y de sistemas de informaciòn"/>
    <s v="1 - SERVICIOS TECNOLÓGICOS"/>
    <s v="Robustecer el nivel de madurez de la estrategia de infraestructura y soluciones en la nube"/>
    <n v="43233203"/>
    <s v="C-2199-1900-5-53105B-2199067-02"/>
    <s v="Software - Licencias"/>
    <s v="130-57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0"/>
    <n v="0"/>
    <s v="No"/>
    <s v="N/A"/>
    <s v="Eric Mauricio Vargas Forero"/>
    <s v="Jefe Oficina de Tecnologias de la Informacion"/>
    <n v="6012220601"/>
    <s v="eric.vargas@upme.gov.co"/>
    <m/>
    <m/>
    <m/>
    <m/>
    <m/>
    <m/>
    <m/>
    <m/>
    <m/>
    <m/>
    <m/>
    <m/>
    <m/>
    <m/>
    <m/>
    <m/>
    <m/>
    <m/>
    <m/>
    <m/>
    <m/>
    <m/>
    <m/>
    <m/>
  </r>
  <r>
    <x v="0"/>
    <x v="3"/>
    <s v="TIC"/>
    <s v="Si"/>
    <n v="42"/>
    <s v="130-58"/>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8 Prestar servicios profesionales en el habilitador de la política de gobierno digital relacionado con servicios ciudadanos digitales, para el mantenimiento de los procesos automatizados en el BPMS, implementados por la UPME, de acuerdo con los reque"/>
    <s v="Agosto"/>
    <s v="Agosto"/>
    <s v="Agosto"/>
    <n v="2"/>
    <s v="Meses"/>
    <s v="Contratación directa "/>
    <s v="Propios - 20 - Ingresos corrientes"/>
    <n v="0"/>
    <n v="0"/>
    <s v="No"/>
    <s v="N/A"/>
    <s v="Eric Mauricio Vargas Forero"/>
    <s v="Jefe Oficina de Tecnologias de la Informacion"/>
    <n v="6012220601"/>
    <s v="eric.vargas@upme.gov.co"/>
    <m/>
    <m/>
    <m/>
    <m/>
    <m/>
    <m/>
    <m/>
    <m/>
    <m/>
    <m/>
    <m/>
    <m/>
    <m/>
    <m/>
    <m/>
    <m/>
    <m/>
    <m/>
    <m/>
    <m/>
    <m/>
    <m/>
    <m/>
    <m/>
  </r>
  <r>
    <x v="0"/>
    <x v="3"/>
    <s v="TIC"/>
    <s v="Si"/>
    <n v="36"/>
    <s v="130-59"/>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n v="2666216"/>
    <m/>
    <m/>
    <m/>
    <m/>
  </r>
  <r>
    <x v="0"/>
    <x v="3"/>
    <s v="TIC"/>
    <s v="Si"/>
    <n v="36"/>
    <s v="130-60"/>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60 Prestar servicios profesionales como Gerente de Proyectos para Sistemas de Información, para liderar el seguimiento a los proyectos de desarrollo y la implementación de software en la entidad, así como  planificar, ejecutar y monitorear el ciclo de"/>
    <s v="Agosto"/>
    <s v="Agosto"/>
    <s v="Agosto"/>
    <n v="4"/>
    <s v="Meses"/>
    <s v="Contratación directa "/>
    <s v="Propios - 20 - Ingresos corrientes"/>
    <n v="20000000"/>
    <n v="20000000"/>
    <s v="No"/>
    <s v="N/A"/>
    <s v="Eric Mauricio Vargas Forero"/>
    <s v="Jefe Oficina de Tecnologias de la Informacion"/>
    <n v="6012220601"/>
    <s v="eric.vargas@upme.gov.co"/>
    <m/>
    <m/>
    <m/>
    <m/>
    <m/>
    <m/>
    <m/>
    <m/>
    <m/>
    <m/>
    <m/>
    <m/>
    <m/>
    <m/>
    <m/>
    <m/>
    <m/>
    <m/>
    <m/>
    <m/>
    <m/>
    <m/>
    <m/>
    <m/>
  </r>
  <r>
    <x v="0"/>
    <x v="3"/>
    <s v="TIC"/>
    <s v="Si"/>
    <n v="42"/>
    <s v="130-61"/>
    <s v="1 - Incrementar el desarrollo de los habilitadores transversales de la política de gobierno digital."/>
    <s v="1 - DOCUMENTO PARA LA PLANEACIÓN ESTRATÉGICA EN TI"/>
    <s v="Mantener y fortalecer el modelo Operativo de TI"/>
    <n v="81112003"/>
    <s v="C-2199-1900-5-53105B-2199066-02"/>
    <s v="Software - Nube pública o privada"/>
    <s v="130-61 Adquirir el servicio de nube para Backup y DRP"/>
    <s v="Septiembre"/>
    <s v="Octubre"/>
    <s v="Octubre"/>
    <n v="12"/>
    <s v="Meses"/>
    <s v="Seléccion abreviada - acuerdo marco"/>
    <s v="Propios - 20 - Ingresos corrientes"/>
    <n v="9774929"/>
    <n v="9774929"/>
    <s v="No"/>
    <s v="N/A"/>
    <s v="Paola del Pilar Puerta"/>
    <s v="Jefe Oficina de Tecnologias de la Informacion"/>
    <n v="6012220601"/>
    <s v="pilar.puerta@upme.gov.co"/>
    <m/>
    <m/>
    <m/>
    <m/>
    <m/>
    <m/>
    <m/>
    <m/>
    <m/>
    <m/>
    <m/>
    <m/>
    <m/>
    <m/>
    <m/>
    <m/>
    <m/>
    <m/>
    <n v="9774929"/>
    <m/>
    <m/>
    <m/>
    <m/>
    <n v="9774929"/>
  </r>
  <r>
    <x v="0"/>
    <x v="4"/>
    <s v="Energía"/>
    <s v="Si"/>
    <n v="46"/>
    <s v="150-1"/>
    <s v="1 - Aumentar señales de expansión y cobertura del servicio de energía eléctrica."/>
    <s v="2 - DOCUMENTOS DE PLANEACIÓN"/>
    <s v="Documento de planeación validado"/>
    <n v="80111620"/>
    <s v="C-2102-1900-6-40301C-2102009-02"/>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n v="3794700"/>
    <m/>
    <n v="7589400"/>
  </r>
  <r>
    <x v="0"/>
    <x v="4"/>
    <s v="Energía"/>
    <s v="Si"/>
    <n v="6"/>
    <s v="150-2"/>
    <s v="1 - Aumentar señales de expansión y cobertura del servicio de energía eléctrica."/>
    <s v="2 - DOCUMENTOS DE PLANEACIÓN"/>
    <s v="Documento de planeación validado"/>
    <n v="80111620"/>
    <s v="C-2102-1900-6-40301C-2102009-02"/>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r>
  <r>
    <x v="0"/>
    <x v="4"/>
    <s v="Energía"/>
    <s v="Si"/>
    <n v="37"/>
    <s v="150-3"/>
    <s v="1 - Aumentar señales de expansión y cobertura del servicio de energía eléctrica."/>
    <s v="2 - DOCUMENTOS DE PLANEACIÓN"/>
    <s v="Documento de planeación validado"/>
    <n v="80111620"/>
    <s v="C-2102-1900-6-40301C-2102009-02"/>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468325"/>
    <n v="101468325"/>
    <s v="No"/>
    <s v="N/A"/>
    <s v="Jose Lenin Morillo Carrillo"/>
    <s v="Subdirector de Energía Eléctrica"/>
    <n v="6012220601"/>
    <s v="jose.morillo@upme.gov.co"/>
    <n v="92944600"/>
    <m/>
    <m/>
    <n v="4137000"/>
    <m/>
    <n v="8274000"/>
    <n v="2206400"/>
    <n v="8274000"/>
    <m/>
    <n v="8274000"/>
    <m/>
    <n v="8274000"/>
    <m/>
    <n v="8274000"/>
    <n v="6083350"/>
    <n v="8274000"/>
    <m/>
    <n v="8741950"/>
    <m/>
    <n v="9677850"/>
    <m/>
    <n v="9677850"/>
    <m/>
    <n v="19355700"/>
  </r>
  <r>
    <x v="0"/>
    <x v="4"/>
    <s v="Energía"/>
    <s v="Si"/>
    <n v="6"/>
    <s v="150-4"/>
    <s v="1 - Aumentar señales de expansión y cobertura del servicio de energía eléctrica."/>
    <s v="2 - DOCUMENTOS DE PLANEACIÓN"/>
    <s v="Documento de planeación validado"/>
    <n v="80111620"/>
    <s v="C-2102-1900-6-40301C-2102009-02"/>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r>
  <r>
    <x v="0"/>
    <x v="4"/>
    <s v="Energía"/>
    <s v="Si"/>
    <n v="37"/>
    <s v="150-5"/>
    <s v="1 - Aumentar señales de expansión y cobertura del servicio de energía eléctrica."/>
    <s v="2 - DOCUMENTOS DE PLANEACIÓN"/>
    <s v="Documento de planeación validado"/>
    <n v="80111620"/>
    <s v="C-2102-1900-6-40301C-2102009-02"/>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r>
  <r>
    <x v="0"/>
    <x v="4"/>
    <s v="Energía"/>
    <s v="Si"/>
    <n v="6"/>
    <s v="150-6"/>
    <s v="1 - Aumentar señales de expansión y cobertura del servicio de energía eléctrica."/>
    <s v="2 - DOCUMENTOS DE PLANEACIÓN"/>
    <s v="Documento de planeación validado"/>
    <n v="80111620"/>
    <s v="C-2102-1900-6-40301C-2102009-02"/>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r>
  <r>
    <x v="0"/>
    <x v="4"/>
    <s v="Energía"/>
    <s v="Si"/>
    <n v="42"/>
    <s v="150-7"/>
    <s v="1 - Aumentar señales de expansión y cobertura del servicio de energía eléctrica."/>
    <s v="2 - DOCUMENTOS DE PLANEACIÓN"/>
    <s v="Documento de planeación validado"/>
    <n v="80111620"/>
    <s v="C-2102-1900-6-40301C-2102009-02"/>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r>
  <r>
    <x v="0"/>
    <x v="4"/>
    <s v="Energía"/>
    <s v="Si"/>
    <n v="6"/>
    <s v="150-8"/>
    <s v="1 - Aumentar señales de expansión y cobertura del servicio de energía eléctrica."/>
    <s v="2 - DOCUMENTOS DE PLANEACIÓN"/>
    <s v="Documento de planeación validado"/>
    <n v="80111620"/>
    <s v="C-2102-1900-6-40301C-2102009-02"/>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r>
  <r>
    <x v="0"/>
    <x v="4"/>
    <s v="Energía"/>
    <s v="Si"/>
    <n v="6"/>
    <s v="150-9"/>
    <s v="1 - Aumentar señales de expansión y cobertura del servicio de energía eléctrica."/>
    <s v="2 - DOCUMENTOS DE PLANEACIÓN"/>
    <s v="Documento de planeación validado"/>
    <n v="80111620"/>
    <s v="C-2102-1900-6-40301C-2102009-02"/>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r>
  <r>
    <x v="0"/>
    <x v="4"/>
    <s v="Energía"/>
    <s v="Si"/>
    <s v="75 (30/12/2024)"/>
    <s v="150-10"/>
    <s v="1 - Aumentar señales de expansión y cobertura del servicio de energía eléctrica."/>
    <s v="2 - DOCUMENTOS DE PLANEACIÓN"/>
    <s v="Documento de planeación validado"/>
    <s v="N/A"/>
    <s v="C-2102-1900-6-40301C-2102009-02"/>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2000000"/>
    <n v="2000000"/>
    <n v="2000000"/>
    <n v="2000000"/>
    <n v="4000000"/>
    <n v="4251393"/>
  </r>
  <r>
    <x v="0"/>
    <x v="4"/>
    <s v="Energía"/>
    <s v="Si"/>
    <n v="6"/>
    <s v="150-11"/>
    <s v="1 - Aumentar señales de expansión y cobertura del servicio de energía eléctrica."/>
    <s v="2 - DOCUMENTOS DE PLANEACIÓN"/>
    <s v="Documento de planeación validado"/>
    <n v="80111620"/>
    <s v="C-2102-1900-6-40301C-2102009-02"/>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r>
  <r>
    <x v="0"/>
    <x v="4"/>
    <s v="Energía"/>
    <s v="Si"/>
    <n v="6"/>
    <s v="150-12"/>
    <s v="1 - Aumentar señales de expansión y cobertura del servicio de energía eléctrica."/>
    <s v="2 - DOCUMENTOS DE PLANEACIÓN"/>
    <s v="Documento de planeación validado"/>
    <n v="80111620"/>
    <s v="C-2102-1900-6-40301C-2102009-02"/>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1844456"/>
    <m/>
    <n v="11844456"/>
    <m/>
    <n v="11844456"/>
    <m/>
    <n v="24898806"/>
  </r>
  <r>
    <x v="0"/>
    <x v="4"/>
    <s v="Energía"/>
    <s v="Si"/>
    <n v="15"/>
    <s v="150-13"/>
    <s v="1 - Aumentar señales de expansión y cobertura del servicio de energía eléctrica."/>
    <s v="2 - DOCUMENTOS DE PLANEACIÓN"/>
    <s v="Documento de planeación validado"/>
    <n v="80111620"/>
    <s v="C-2102-1900-6-40301C-2102009-02"/>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r>
  <r>
    <x v="0"/>
    <x v="4"/>
    <s v="Energía"/>
    <s v="Si"/>
    <n v="6"/>
    <s v="150-14"/>
    <s v="1 - Aumentar señales de expansión y cobertura del servicio de energía eléctrica."/>
    <s v="2 - DOCUMENTOS DE PLANEACIÓN"/>
    <s v="Documento de planeación validado"/>
    <n v="80111620"/>
    <s v="C-2102-1900-6-40301C-2102009-02"/>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r>
  <r>
    <x v="0"/>
    <x v="4"/>
    <s v="Energía"/>
    <s v="Si"/>
    <n v="2"/>
    <s v="150-15"/>
    <s v="1 - Aumentar señales de expansión y cobertura del servicio de energía eléctrica."/>
    <s v="2 - DOCUMENTOS DE PLANEACIÓN"/>
    <s v="Documento de planeación validado"/>
    <n v="78111502"/>
    <s v="C-2102-1900-6-40301C-2102009-02"/>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45452318"/>
    <n v="45452318"/>
    <s v="No"/>
    <s v="N/A"/>
    <s v="Jose Lenin Morillo Carrillo"/>
    <s v="Subdirector de Energía Eléctrica"/>
    <n v="6012220601"/>
    <s v="jose.morillo@upme.gov.co"/>
    <m/>
    <m/>
    <m/>
    <m/>
    <m/>
    <m/>
    <m/>
    <m/>
    <m/>
    <m/>
    <n v="20000000"/>
    <m/>
    <m/>
    <m/>
    <m/>
    <n v="12568536"/>
    <m/>
    <m/>
    <n v="25452318"/>
    <n v="3246595"/>
    <m/>
    <n v="12986376"/>
    <m/>
    <n v="16650811"/>
  </r>
  <r>
    <x v="0"/>
    <x v="4"/>
    <s v="Energía"/>
    <s v="Si"/>
    <n v="6"/>
    <s v="150-16"/>
    <s v="1 - Aumentar señales de expansión y cobertura del servicio de energía eléctrica."/>
    <s v="2 - DOCUMENTOS DE PLANEACIÓN"/>
    <s v="Documento de planeación validado"/>
    <n v="80111620"/>
    <s v="C-2102-1900-6-40301C-2102009-02"/>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r>
  <r>
    <x v="0"/>
    <x v="4"/>
    <s v="Energía"/>
    <s v="Si"/>
    <n v="15"/>
    <s v="150-17"/>
    <s v="1 - Aumentar señales de expansión y cobertura del servicio de energía eléctrica."/>
    <s v="2 - DOCUMENTOS DE PLANEACIÓN"/>
    <s v="Documento de planeación validado"/>
    <n v="80111620"/>
    <s v="C-2102-1900-6-40301C-2102009-02"/>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500"/>
    <n v="62651500"/>
    <s v="No"/>
    <s v="N/A"/>
    <s v="Jose Lenin Morillo Carrillo"/>
    <s v="Subdirector de Energía Eléctrica"/>
    <n v="6012220601"/>
    <s v="jose.morillo@upme.gov.co"/>
    <n v="55050500"/>
    <m/>
    <m/>
    <n v="3510467"/>
    <m/>
    <n v="4787000"/>
    <n v="7600567"/>
    <n v="4787000"/>
    <m/>
    <n v="5507400"/>
    <m/>
    <n v="5507400"/>
    <m/>
    <n v="5507400"/>
    <m/>
    <n v="5507400"/>
    <m/>
    <n v="5507400"/>
    <m/>
    <n v="5507400"/>
    <m/>
    <n v="5507400"/>
    <m/>
    <n v="11015233"/>
  </r>
  <r>
    <x v="0"/>
    <x v="4"/>
    <s v="Energía"/>
    <s v="Si"/>
    <n v="20"/>
    <s v="150-18"/>
    <s v="1 - Aumentar señales de expansión y cobertura del servicio de energía eléctrica."/>
    <s v="2 - DOCUMENTOS DE PLANEACIÓN"/>
    <s v="Documento de planeación validado"/>
    <n v="80111620"/>
    <s v="C-2102-1900-6-40301C-2102009-02"/>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r>
  <r>
    <x v="0"/>
    <x v="4"/>
    <s v="Energía"/>
    <s v="Si"/>
    <n v="20"/>
    <s v="150-19"/>
    <s v="1 - Aumentar señales de expansión y cobertura del servicio de energía eléctrica."/>
    <s v="2 - DOCUMENTOS DE PLANEACIÓN"/>
    <s v="Documento de planeación validado"/>
    <n v="80111620"/>
    <s v="C-2102-1900-6-40301C-2102009-02"/>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r>
  <r>
    <x v="0"/>
    <x v="4"/>
    <s v="Energía"/>
    <s v="Si"/>
    <n v="20"/>
    <s v="150-20"/>
    <s v="1 - Aumentar señales de expansión y cobertura del servicio de energía eléctrica."/>
    <s v="2 - DOCUMENTOS DE PLANEACIÓN"/>
    <s v="Documento de planeación validado"/>
    <n v="80111620"/>
    <s v="C-2102-1900-6-40301C-2102009-02"/>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r>
  <r>
    <x v="0"/>
    <x v="4"/>
    <s v="Energía"/>
    <s v="Si"/>
    <n v="20"/>
    <s v="150-21"/>
    <s v="1 - Aumentar señales de expansión y cobertura del servicio de energía eléctrica."/>
    <s v="2 - DOCUMENTOS DE PLANEACIÓN"/>
    <s v="Documento de planeación validado"/>
    <n v="80111620"/>
    <s v="C-2102-1900-6-40301C-2102009-02"/>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r>
  <r>
    <x v="0"/>
    <x v="4"/>
    <s v="Energía"/>
    <s v="Si"/>
    <n v="6"/>
    <s v="150-22"/>
    <s v="1 - Aumentar señales de expansión y cobertura del servicio de energía eléctrica."/>
    <s v="2 - DOCUMENTOS DE PLANEACIÓN"/>
    <s v="Documento de planeación validado"/>
    <n v="80111620"/>
    <s v="C-2102-1900-6-40301C-2102009-02"/>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r>
  <r>
    <x v="0"/>
    <x v="4"/>
    <s v="Energía"/>
    <s v="Si"/>
    <n v="6"/>
    <s v="150-23"/>
    <s v="1 - Aumentar señales de expansión y cobertura del servicio de energía eléctrica."/>
    <s v="2 - DOCUMENTOS DE PLANEACIÓN"/>
    <s v="Documento de planeación validado"/>
    <n v="80111620"/>
    <s v="C-2102-1900-6-40301C-2102009-02"/>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r>
  <r>
    <x v="0"/>
    <x v="4"/>
    <s v="Energía"/>
    <s v="Si"/>
    <n v="19"/>
    <s v="150-24"/>
    <s v="1 - Aumentar señales de expansión y cobertura del servicio de energía eléctrica."/>
    <s v="2 - DOCUMENTOS DE PLANEACIÓN"/>
    <s v="Documento de planeación validado"/>
    <n v="80111620"/>
    <s v="C-2102-1900-6-40301C-2102009-02"/>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r>
  <r>
    <x v="0"/>
    <x v="4"/>
    <s v="Energía"/>
    <s v="Si"/>
    <n v="37"/>
    <s v="150-25"/>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80121601"/>
    <s v="C-2102-1900-6-40301C-2102071-02"/>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n v="13000000"/>
    <m/>
    <n v="13000000"/>
    <m/>
    <n v="28166667"/>
  </r>
  <r>
    <x v="0"/>
    <x v="4"/>
    <s v="Energía"/>
    <s v="Si"/>
    <n v="20"/>
    <s v="150-26"/>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r>
  <r>
    <x v="0"/>
    <x v="4"/>
    <s v="Energía"/>
    <s v="Si"/>
    <n v="15"/>
    <s v="150-27"/>
    <s v="1 - Aumentar señales de expansión y cobertura del servicio de energía eléctrica."/>
    <s v="2 - DOCUMENTOS DE PLANEACIÓN"/>
    <s v="Documento de planeación validado"/>
    <n v="80111620"/>
    <s v="C-2102-1900-6-40301C-2102009-02"/>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r>
  <r>
    <x v="0"/>
    <x v="4"/>
    <s v="Energía"/>
    <s v="Si"/>
    <n v="6"/>
    <s v="150-2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7866500"/>
    <m/>
    <n v="7866500"/>
    <m/>
    <n v="17237325"/>
  </r>
  <r>
    <x v="0"/>
    <x v="4"/>
    <s v="Energía"/>
    <s v="Si"/>
    <n v="20"/>
    <s v="150-29"/>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r>
  <r>
    <x v="0"/>
    <x v="4"/>
    <s v="Energía"/>
    <s v="Si"/>
    <n v="20"/>
    <s v="150-30"/>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8866500"/>
    <m/>
    <n v="16237325"/>
  </r>
  <r>
    <x v="0"/>
    <x v="4"/>
    <s v="Energía"/>
    <s v="Si"/>
    <n v="6"/>
    <s v="150-31"/>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r>
  <r>
    <x v="0"/>
    <x v="4"/>
    <s v="Energía"/>
    <s v="Si"/>
    <n v="20"/>
    <s v="150-3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r>
  <r>
    <x v="0"/>
    <x v="4"/>
    <s v="Energía"/>
    <s v="Si"/>
    <n v="6"/>
    <s v="150-33"/>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r>
  <r>
    <x v="0"/>
    <x v="4"/>
    <s v="Energía"/>
    <s v="Si"/>
    <n v="6"/>
    <s v="150-34"/>
    <s v="1 - Aumentar señales de expansión y cobertura del servicio de energía eléctrica."/>
    <s v="2 - DOCUMENTOS DE PLANEACIÓN"/>
    <s v="Documento de planeación validado"/>
    <n v="80111620"/>
    <s v="C-2102-1900-6-40301C-2102009-02"/>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5000000"/>
    <n v="85000000"/>
    <s v="No"/>
    <s v="N/A"/>
    <s v="Jose Lenin Morillo Carrillo"/>
    <s v="Subdirector de Energía Eléctrica"/>
    <n v="6012220601"/>
    <s v="jose.morillo@upme.gov.co"/>
    <m/>
    <m/>
    <n v="85000000"/>
    <m/>
    <m/>
    <n v="1416667"/>
    <m/>
    <n v="8500000"/>
    <m/>
    <n v="8500000"/>
    <m/>
    <n v="8500000"/>
    <m/>
    <n v="8500000"/>
    <m/>
    <n v="8500000"/>
    <m/>
    <n v="8500000"/>
    <m/>
    <n v="8500000"/>
    <m/>
    <n v="8500000"/>
    <m/>
    <n v="15583333"/>
  </r>
  <r>
    <x v="0"/>
    <x v="4"/>
    <s v="Energía"/>
    <s v="Si"/>
    <n v="44"/>
    <s v="150-35"/>
    <s v="1 - Aumentar señales de expansión y cobertura del servicio de energía eléctrica."/>
    <s v="2 - DOCUMENTOS DE PLANEACIÓN"/>
    <s v="Documento de planeación validado"/>
    <n v="80111620"/>
    <s v="C-2102-1900-6-40301C-2102009-02"/>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7005760"/>
    <n v="47005760"/>
    <s v="No"/>
    <s v="N/A"/>
    <s v="Jose Lenin Morillo Carrillo"/>
    <s v="Subdirector de Energía Eléctrica"/>
    <n v="6012220601"/>
    <s v="jose.morillo@upme.gov.co"/>
    <m/>
    <m/>
    <n v="66811333"/>
    <m/>
    <n v="-205573"/>
    <n v="4933760"/>
    <m/>
    <n v="6167200"/>
    <m/>
    <n v="6167200"/>
    <m/>
    <n v="6167200"/>
    <m/>
    <n v="6167200"/>
    <m/>
    <n v="6167200"/>
    <n v="-23640933"/>
    <n v="6167200"/>
    <m/>
    <m/>
    <n v="4040933"/>
    <m/>
    <m/>
    <n v="5068800"/>
  </r>
  <r>
    <x v="0"/>
    <x v="4"/>
    <s v="Energía"/>
    <s v="Si"/>
    <s v="75 (30/12/2024)"/>
    <s v="150-36"/>
    <s v="1 - Aumentar señales de expansión y cobertura del servicio de energía eléctrica."/>
    <s v="2 - DOCUMENTOS DE PLANEACIÓN"/>
    <s v="Documento de planeación validado"/>
    <n v="81112501"/>
    <s v="C-2102-1900-6-40301C-2102009-02"/>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55936690"/>
    <n v="355936690"/>
    <s v="No"/>
    <s v="N/A"/>
    <s v="Jose Lenin Morillo Carrillo"/>
    <s v="Subdirector de Energía Eléctrica"/>
    <n v="6012220601"/>
    <s v="jose.morillo@upme.gov.co"/>
    <m/>
    <m/>
    <m/>
    <m/>
    <m/>
    <m/>
    <m/>
    <m/>
    <m/>
    <m/>
    <m/>
    <m/>
    <m/>
    <m/>
    <m/>
    <m/>
    <m/>
    <m/>
    <n v="355936690"/>
    <n v="355936690"/>
    <m/>
    <m/>
    <m/>
    <m/>
  </r>
  <r>
    <x v="0"/>
    <x v="4"/>
    <s v="Energía"/>
    <s v="Si"/>
    <n v="39"/>
    <s v="150-37"/>
    <s v="1 - Aumentar señales de expansión y cobertura del servicio de energía eléctrica."/>
    <s v="2 - DOCUMENTOS DE PLANEACIÓN"/>
    <s v="Documento de planeación validado"/>
    <n v="81112501"/>
    <s v="C-2102-1900-6-40301C-2102009-02"/>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m/>
    <m/>
  </r>
  <r>
    <x v="0"/>
    <x v="4"/>
    <s v="Energía"/>
    <s v="Si"/>
    <n v="48"/>
    <s v="150-38"/>
    <s v="1 - Aumentar señales de expansión y cobertura del servicio de energía eléctrica."/>
    <s v="2 - DOCUMENTOS DE PLANEACIÓN"/>
    <s v="Documento de planeación validado"/>
    <n v="81112501"/>
    <s v="C-2102-1900-6-40301C-2102009-02"/>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630648274"/>
    <n v="630648274"/>
    <s v="No"/>
    <s v="N/A"/>
    <s v="Jose Lenin Morillo Carrillo"/>
    <s v="Subdirector de Energía Eléctrica"/>
    <n v="6012220601"/>
    <s v="jose.morillo@upme.gov.co"/>
    <m/>
    <m/>
    <m/>
    <m/>
    <m/>
    <m/>
    <m/>
    <m/>
    <m/>
    <m/>
    <m/>
    <m/>
    <m/>
    <m/>
    <m/>
    <m/>
    <m/>
    <m/>
    <m/>
    <m/>
    <n v="630648274"/>
    <m/>
    <m/>
    <n v="630648274"/>
  </r>
  <r>
    <x v="0"/>
    <x v="4"/>
    <s v="Energía"/>
    <s v="Si"/>
    <n v="6"/>
    <s v="150-39"/>
    <s v="1 - Aumentar señales de expansión y cobertura del servicio de energía eléctrica."/>
    <s v="2 - DOCUMENTOS DE PLANEACIÓN"/>
    <s v="Documento de planeación validado"/>
    <n v="93142104"/>
    <s v="C-2102-1900-6-40301C-2102009-02"/>
    <s v="Software - Licencias"/>
    <s v="150-39 Adquirir el servicio de suscripción online de la herramienta SAX para dos usuarios durante un año, incluyendo el soporte técnico general y específico."/>
    <s v="Octubre"/>
    <s v="Octubre"/>
    <s v="Noviembre"/>
    <n v="12"/>
    <s v="Meses"/>
    <s v="Contratación directa - único oferente"/>
    <s v="Propios - 20 - Ingresos corrientes"/>
    <n v="0"/>
    <n v="0"/>
    <s v="No"/>
    <s v="N/A"/>
    <s v="Jose Lenin Morillo Carrillo"/>
    <s v="Subdirector de Energía Eléctrica"/>
    <n v="6012220601"/>
    <s v="jose.morillo@upme.gov.co"/>
    <m/>
    <m/>
    <m/>
    <m/>
    <m/>
    <m/>
    <m/>
    <m/>
    <m/>
    <m/>
    <m/>
    <m/>
    <m/>
    <m/>
    <m/>
    <m/>
    <m/>
    <m/>
    <m/>
    <m/>
    <m/>
    <m/>
    <m/>
    <m/>
  </r>
  <r>
    <x v="0"/>
    <x v="4"/>
    <s v="Energía"/>
    <s v="Si"/>
    <n v="48"/>
    <s v="150-40"/>
    <s v="1 - Aumentar señales de expansión y cobertura del servicio de energía eléctrica."/>
    <s v="2 - DOCUMENTOS DE PLANEACIÓN"/>
    <s v="Documento de planeación validado"/>
    <s v="N/A"/>
    <s v="C-2102-1900-6-40301C-2102009-02"/>
    <s v="Planta temporal"/>
    <s v="150-40 Gastos de personal de los empleos de la planta temporal"/>
    <s v="Octubre"/>
    <s v="Octubre"/>
    <s v="Octubre"/>
    <n v="6"/>
    <s v="Meses"/>
    <s v="Contratación régimen especial - Régimen especial"/>
    <s v="Propios - 20 - Ingresos corrientes"/>
    <n v="153020300"/>
    <n v="153020300"/>
    <s v="No"/>
    <s v="N/A"/>
    <s v="Jose Lenin Morillo Carrillo"/>
    <s v="Subdirector de Energía Eléctrica"/>
    <n v="6012220601"/>
    <s v="jose.morillo@upme.gov.co"/>
    <m/>
    <m/>
    <m/>
    <m/>
    <m/>
    <m/>
    <m/>
    <m/>
    <m/>
    <m/>
    <m/>
    <m/>
    <m/>
    <m/>
    <m/>
    <m/>
    <m/>
    <m/>
    <m/>
    <m/>
    <n v="153020300"/>
    <m/>
    <m/>
    <n v="153020300"/>
  </r>
  <r>
    <x v="0"/>
    <x v="4"/>
    <s v="Energía"/>
    <s v="Si"/>
    <n v="28"/>
    <s v="150-41"/>
    <s v="1 - Aumentar señales de expansión y cobertura del servicio de energía eléctrica."/>
    <s v="2 - DOCUMENTOS DE PLANEACIÓN"/>
    <s v="Documento de planeación validado"/>
    <n v="80131500"/>
    <s v="C-2102-1900-6-40301C-2102009-02"/>
    <s v="Arrendamientos"/>
    <s v="150-41 Alquilar espacios de oficina (coworking) en virtud del proyecto de modernización organizacional para la Unidad de Planeación Minero Energética."/>
    <s v="Octubre"/>
    <s v="Octubre"/>
    <s v="Octubre"/>
    <n v="6"/>
    <s v="Meses"/>
    <s v="Contratación directa - Contratos de arrendamiento o adquisición de inmuebles"/>
    <s v="Propios - 20 - Ingresos corrientes"/>
    <n v="80325000"/>
    <n v="80325000"/>
    <s v="No"/>
    <s v="N/A"/>
    <s v="Jose Lenin Morillo Carrillo"/>
    <s v="Subdirector de Energía Eléctrica"/>
    <n v="6012220601"/>
    <s v="jose.morillo@upme.gov.co"/>
    <m/>
    <m/>
    <m/>
    <m/>
    <m/>
    <m/>
    <m/>
    <m/>
    <m/>
    <m/>
    <m/>
    <m/>
    <m/>
    <m/>
    <m/>
    <m/>
    <m/>
    <m/>
    <m/>
    <m/>
    <n v="17189550"/>
    <n v="17189550"/>
    <n v="17189550"/>
    <n v="17189550"/>
  </r>
  <r>
    <x v="0"/>
    <x v="4"/>
    <s v="Energía"/>
    <s v="Si"/>
    <n v="47"/>
    <s v="150-4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s v="N/A"/>
    <s v="C-2102-1900-6-40301C-2102071-02"/>
    <s v="Planta temporal"/>
    <s v="150-42 Gastos de personal de los empleos de la planta temporal."/>
    <s v="Octubre"/>
    <s v="Octubre"/>
    <s v="Octubre"/>
    <n v="6"/>
    <s v="Meses"/>
    <s v="Contratación régimen especial - Régimen especial"/>
    <s v="Propios - 20 - Ingresos corrientes"/>
    <n v="14168835"/>
    <n v="14168835"/>
    <s v="No"/>
    <s v="N/A"/>
    <s v="Jose Lenin Morillo Carrillo"/>
    <s v="Subdirector de Energía Eléctrica"/>
    <n v="6012220601"/>
    <s v="jose.morillo@upme.gov.co"/>
    <m/>
    <m/>
    <m/>
    <m/>
    <m/>
    <m/>
    <m/>
    <m/>
    <m/>
    <m/>
    <m/>
    <m/>
    <m/>
    <m/>
    <m/>
    <m/>
    <m/>
    <m/>
    <m/>
    <m/>
    <n v="14168835"/>
    <m/>
    <m/>
    <n v="14168835"/>
  </r>
  <r>
    <x v="0"/>
    <x v="4"/>
    <s v="Energía"/>
    <s v="Si"/>
    <n v="16"/>
    <s v="150-43"/>
    <s v="1 - Aumentar señales de expansión y cobertura del servicio de energía eléctrica."/>
    <s v="2 - DOCUMENTOS DE PLANEACIÓN"/>
    <s v="Documento de planeación validado"/>
    <n v="81101516"/>
    <s v="C-2102-1900-6-40301C-2102009-02"/>
    <s v="Consultoría"/>
    <s v="150-43 Consultoria para la determinación de las viviendas sin servicios en el marco del cálculo del índice de cobertura."/>
    <s v="Junio"/>
    <s v="Junio"/>
    <s v="Julio"/>
    <n v="1"/>
    <s v="Meses"/>
    <s v="Contratación régimen especial (con ofertas) - Régimen especial"/>
    <s v="Propios - 20 - Ingresos corrientes"/>
    <n v="0"/>
    <n v="0"/>
    <s v="No"/>
    <s v="N/A"/>
    <s v="Jose Lenin Morillo Carrillo"/>
    <s v="Subdirector de Energía Eléctrica"/>
    <n v="6012220601"/>
    <s v="jose.morillo@upme.gov.co"/>
    <m/>
    <m/>
    <m/>
    <m/>
    <m/>
    <m/>
    <m/>
    <m/>
    <m/>
    <m/>
    <m/>
    <m/>
    <m/>
    <m/>
    <m/>
    <m/>
    <m/>
    <m/>
    <m/>
    <m/>
    <m/>
    <m/>
    <m/>
    <m/>
  </r>
  <r>
    <x v="0"/>
    <x v="4"/>
    <s v="Energía"/>
    <s v="Si"/>
    <n v="37"/>
    <s v="150-44"/>
    <s v="1 - Aumentar señales de expansión y cobertura del servicio de energía eléctrica."/>
    <s v="2 - DOCUMENTOS DE PLANEACIÓN"/>
    <s v="Documento de planeación validado"/>
    <n v="80111620"/>
    <s v="C-2102-1900-6-40301C-2102009-02"/>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r>
  <r>
    <x v="0"/>
    <x v="4"/>
    <s v="Energía"/>
    <s v="Si"/>
    <n v="37"/>
    <s v="150-45"/>
    <s v="1 - Aumentar señales de expansión y cobertura del servicio de energía eléctrica."/>
    <s v="2 - DOCUMENTOS DE PLANEACIÓN"/>
    <s v="Documento de planeación validado"/>
    <n v="80111620"/>
    <s v="C-2102-1900-6-40301C-2102009-02"/>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836420"/>
  </r>
  <r>
    <x v="0"/>
    <x v="4"/>
    <s v="Energía"/>
    <s v="Si"/>
    <n v="37"/>
    <s v="150-46"/>
    <s v="1 - Aumentar señales de expansión y cobertura del servicio de energía eléctrica."/>
    <s v="2 - DOCUMENTOS DE PLANEACIÓN"/>
    <s v="Documento de planeación validado"/>
    <n v="80111620"/>
    <s v="C-2102-1900-6-40301C-2102009-02"/>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836420"/>
  </r>
  <r>
    <x v="0"/>
    <x v="4"/>
    <s v="Energía"/>
    <s v="Si"/>
    <n v="37"/>
    <s v="150-47"/>
    <s v="1 - Aumentar señales de expansión y cobertura del servicio de energía eléctrica."/>
    <s v="2 - DOCUMENTOS DE PLANEACIÓN"/>
    <s v="Documento de planeación validado"/>
    <n v="80111620"/>
    <s v="C-2102-1900-6-40301C-2102009-02"/>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r>
  <r>
    <x v="0"/>
    <x v="4"/>
    <s v="Energía"/>
    <s v="Si"/>
    <n v="37"/>
    <s v="150-48"/>
    <s v="1 - Aumentar señales de expansión y cobertura del servicio de energía eléctrica."/>
    <s v="2 - DOCUMENTOS DE PLANEACIÓN"/>
    <s v="Documento de planeación validado"/>
    <n v="80111620"/>
    <s v="C-2102-1900-6-40301C-2102009-02"/>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505820"/>
    <n v="8050582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836420"/>
  </r>
  <r>
    <x v="0"/>
    <x v="4"/>
    <s v="Energía"/>
    <s v="Si"/>
    <n v="41"/>
    <s v="150-49"/>
    <s v="1 - Aumentar señales de expansión y cobertura del servicio de energía eléctrica."/>
    <s v="2 - DOCUMENTOS DE PLANEACIÓN"/>
    <s v="Documento de planeación validado"/>
    <n v="80111620"/>
    <s v="C-2102-1900-6-40301C-2102009-02"/>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r>
  <r>
    <x v="0"/>
    <x v="4"/>
    <s v="Energía"/>
    <s v="Si"/>
    <n v="20"/>
    <s v="150-50"/>
    <s v="1 - Aumentar señales de expansión y cobertura del servicio de energía eléctrica."/>
    <s v="2 - DOCUMENTOS DE PLANEACIÓN"/>
    <s v="Documento de planeación validado"/>
    <n v="80111620"/>
    <s v="C-2102-1900-6-40301C-2102009-02"/>
    <s v="Prestación de servicios profesionales y/o de apoyo a la gestión"/>
    <s v="150-50 Prestar los servicios profesionales para apoyar el seguimiento el seguimiento a la ejecución de los proyectos de nivel de tensión iv que corresponde a la upme y las solicitudes de conexión según la resolución creg 075 de 2021 , así como los procedi"/>
    <s v="Enero"/>
    <s v="Enero"/>
    <s v="Enero"/>
    <n v="11"/>
    <s v="Meses"/>
    <s v="Contratación directa - Prestación de servicios profesionales"/>
    <s v="Propios - 20 - Ingresos corrientes"/>
    <n v="40967650"/>
    <n v="40967650"/>
    <s v="No"/>
    <s v="N/A"/>
    <s v="Jose Lenin Morillo Carrillo"/>
    <s v="Subdirector de Energía Eléctrica"/>
    <n v="6012220601"/>
    <s v="jose.morillo@upme.gov.co"/>
    <m/>
    <m/>
    <n v="41343500"/>
    <m/>
    <n v="-375850"/>
    <n v="3382650"/>
    <m/>
    <n v="3758500"/>
    <m/>
    <n v="3758500"/>
    <m/>
    <n v="3758500"/>
    <m/>
    <n v="3758500"/>
    <m/>
    <n v="3758500"/>
    <m/>
    <n v="3758500"/>
    <m/>
    <n v="3758500"/>
    <m/>
    <n v="3758500"/>
    <m/>
    <n v="7517000"/>
  </r>
  <r>
    <x v="0"/>
    <x v="4"/>
    <s v="Energía"/>
    <s v="Si"/>
    <n v="20"/>
    <s v="150-51"/>
    <s v="1 - Aumentar señales de expansión y cobertura del servicio de energía eléctrica."/>
    <s v="2 - DOCUMENTOS DE PLANEACIÓN"/>
    <s v="Documento de planeación validado"/>
    <n v="80111620"/>
    <s v="C-2102-1900-6-40301C-2102009-02"/>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144280"/>
    <n v="35144280"/>
    <s v="No"/>
    <s v="N/A"/>
    <s v="Jose Lenin Morillo Carrillo"/>
    <s v="Subdirector de Energía Eléctrica"/>
    <n v="6012220601"/>
    <s v="jose.morillo@upme.gov.co"/>
    <m/>
    <m/>
    <n v="35252750"/>
    <m/>
    <m/>
    <n v="2603280"/>
    <n v="-108470"/>
    <n v="3254100"/>
    <m/>
    <n v="3254100"/>
    <m/>
    <n v="3254100"/>
    <m/>
    <n v="3254100"/>
    <m/>
    <n v="3254100"/>
    <m/>
    <n v="3254100"/>
    <m/>
    <n v="3254100"/>
    <m/>
    <n v="3254100"/>
    <m/>
    <n v="6508200"/>
  </r>
  <r>
    <x v="0"/>
    <x v="4"/>
    <s v="Energía"/>
    <s v="Si"/>
    <n v="15"/>
    <s v="150-52"/>
    <s v="1 - Aumentar señales de expansión y cobertura del servicio de energía eléctrica."/>
    <s v="2 - DOCUMENTOS DE PLANEACIÓN"/>
    <s v="Documento de planeación validado"/>
    <n v="80111620"/>
    <s v="C-2102-1900-6-40301C-2102009-02"/>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r>
  <r>
    <x v="0"/>
    <x v="4"/>
    <s v="Energía"/>
    <s v="Si"/>
    <n v="20"/>
    <s v="150-53"/>
    <s v="1 - Aumentar señales de expansión y cobertura del servicio de energía eléctrica."/>
    <s v="2 - DOCUMENTOS DE PLANEACIÓN"/>
    <s v="Documento de planeación validado"/>
    <n v="80111620"/>
    <s v="C-2102-1900-6-40301C-2102009-02"/>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r>
  <r>
    <x v="0"/>
    <x v="4"/>
    <s v="Energía"/>
    <s v="Si"/>
    <n v="20"/>
    <s v="150-54"/>
    <s v="1 - Aumentar señales de expansión y cobertura del servicio de energía eléctrica."/>
    <s v="2 - DOCUMENTOS DE PLANEACIÓN"/>
    <s v="Documento de planeación validado"/>
    <n v="80111620"/>
    <s v="C-2102-1900-6-40301C-2102009-02"/>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r>
  <r>
    <x v="0"/>
    <x v="4"/>
    <s v="Energía"/>
    <s v="Si"/>
    <n v="15"/>
    <s v="150-55"/>
    <s v="1 - Aumentar señales de expansión y cobertura del servicio de energía eléctrica."/>
    <s v="2 - DOCUMENTOS DE PLANEACIÓN"/>
    <s v="Documento de planeación validado"/>
    <n v="80111620"/>
    <s v="C-2102-1900-6-40301C-2102009-02"/>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r>
  <r>
    <x v="0"/>
    <x v="4"/>
    <s v="Energía"/>
    <s v="Si"/>
    <n v="15"/>
    <s v="150-56"/>
    <s v="1 - Aumentar señales de expansión y cobertura del servicio de energía eléctrica."/>
    <s v="2 - DOCUMENTOS DE PLANEACIÓN"/>
    <s v="Documento de planeación validado"/>
    <n v="80111620"/>
    <s v="C-2102-1900-6-40301C-2102009-02"/>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r>
  <r>
    <x v="0"/>
    <x v="4"/>
    <s v="Energía"/>
    <s v="Si"/>
    <n v="15"/>
    <s v="150-57"/>
    <s v="1 - Aumentar señales de expansión y cobertura del servicio de energía eléctrica."/>
    <s v="2 - DOCUMENTOS DE PLANEACIÓN"/>
    <s v="Documento de planeación validado"/>
    <n v="80111620"/>
    <s v="C-2102-1900-6-40301C-2102009-02"/>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r>
  <r>
    <x v="0"/>
    <x v="4"/>
    <s v="Energía"/>
    <s v="Si"/>
    <n v="28"/>
    <s v="150-5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r>
  <r>
    <x v="0"/>
    <x v="4"/>
    <s v="Energía"/>
    <s v="Si"/>
    <n v="15"/>
    <s v="150-59"/>
    <s v="1 - Aumentar señales de expansión y cobertura del servicio de energía eléctrica"/>
    <s v="2 - DOCUMENTOS DE PLANEACIÓN"/>
    <s v="Documento de planeación validado"/>
    <n v="43233501"/>
    <s v="C-2102-1900-6-40301C-2102009-02"/>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r>
  <r>
    <x v="0"/>
    <x v="4"/>
    <s v="Energía"/>
    <s v="Si"/>
    <n v="47"/>
    <s v="150-60"/>
    <s v="1 - Aumentar señales de expansión y cobertura del servicio de energía eléctrica"/>
    <s v="2 - DOCUMENTOS DE PLANEACIÓN"/>
    <s v="Documento de planeación validado"/>
    <n v="43233600"/>
    <s v="C-2102-1900-6-40301C-2102009-02"/>
    <s v="Prestación de servicios profesionales y/o de apoyo a la gestión"/>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n v="95831166"/>
    <m/>
    <m/>
    <n v="95831166"/>
    <m/>
    <m/>
  </r>
  <r>
    <x v="0"/>
    <x v="4"/>
    <s v="Energía"/>
    <s v="Si"/>
    <n v="48"/>
    <s v="150-61"/>
    <s v="1 - Aumentar señales de expansión y cobertura del servicio de energía eléctrica"/>
    <s v="2 - DOCUMENTOS DE PLANEACIÓN"/>
    <s v="Documento de planeación validado"/>
    <n v="80111620"/>
    <s v="C-2102-1900-6-40301C-2102009-02"/>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m/>
    <m/>
    <n v="16000000"/>
    <m/>
    <m/>
    <n v="16000000"/>
  </r>
  <r>
    <x v="0"/>
    <x v="4"/>
    <s v="Energía"/>
    <s v="Si"/>
    <n v="16"/>
    <s v="150-62"/>
    <s v="1 - Aumentar señales de expansión y cobertura del servicio de energía eléctrica"/>
    <s v="2 - DOCUMENTOS DE PLANEACIÓN"/>
    <s v="Documento de planeación validado"/>
    <n v="80111620"/>
    <s v="C-2102-1900-6-40301C-2102009-02"/>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Octubre"/>
    <s v="Octubre"/>
    <s v="Octubre"/>
    <n v="2"/>
    <s v="Meses"/>
    <s v="Contratación directa - Prestación de servicios profesionales"/>
    <s v="Propios - 20 - Ingresos corrientes"/>
    <n v="14032000"/>
    <n v="14032000"/>
    <s v="No"/>
    <s v="N/A"/>
    <s v="Jose Lenin Morillo Carrillo"/>
    <s v="Subdirector de Energía Eléctrica"/>
    <n v="6012220601"/>
    <s v="jose.morillo@upme.gov.co"/>
    <m/>
    <m/>
    <m/>
    <m/>
    <m/>
    <m/>
    <m/>
    <m/>
    <m/>
    <m/>
    <m/>
    <m/>
    <m/>
    <m/>
    <m/>
    <m/>
    <m/>
    <m/>
    <m/>
    <m/>
    <n v="14032000"/>
    <m/>
    <m/>
    <n v="14032000"/>
  </r>
  <r>
    <x v="0"/>
    <x v="4"/>
    <s v="Energía"/>
    <s v="Si"/>
    <n v="16"/>
    <s v="150-63"/>
    <s v="1 - Aumentar señales de expansión y cobertura del servicio de energía eléctrica"/>
    <s v="2 - DOCUMENTOS DE PLANEACIÓN"/>
    <s v="Documento de planeación validado"/>
    <n v="80111620"/>
    <s v="C-2102-1900-6-40301C-2102009-02"/>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Octubre"/>
    <s v="Octubre"/>
    <s v="Octubre"/>
    <n v="2"/>
    <s v="Meses"/>
    <s v="Contratación directa - Prestación de servicios profesionales"/>
    <s v="Propios - 20 - Ingresos corrientes"/>
    <n v="6258000"/>
    <n v="6258000"/>
    <s v="No"/>
    <s v="N/A"/>
    <s v="Jose Lenin Morillo Carrillo"/>
    <s v="Subdirector de Energía Eléctrica"/>
    <n v="6012220601"/>
    <s v="jose.morillo@upme.gov.co"/>
    <m/>
    <m/>
    <m/>
    <m/>
    <m/>
    <m/>
    <m/>
    <m/>
    <m/>
    <m/>
    <m/>
    <m/>
    <m/>
    <m/>
    <m/>
    <m/>
    <m/>
    <m/>
    <m/>
    <m/>
    <n v="6258000"/>
    <n v="3129000"/>
    <m/>
    <n v="3129000"/>
  </r>
  <r>
    <x v="0"/>
    <x v="4"/>
    <s v="Energía"/>
    <s v="Si"/>
    <n v="16"/>
    <s v="150-64"/>
    <s v="1 - Aumentar señales de expansión y cobertura del servicio de energía eléctrica"/>
    <s v="2 - DOCUMENTOS DE PLANEACIÓN"/>
    <s v="Documento de planeación validado"/>
    <n v="80111620"/>
    <s v="C-2102-1900-6-40301C-2102009-02"/>
    <s v="Prestación de servicios profesionales y/o de apoyo a la gestión"/>
    <s v="150-64 Prestar servicios profesionales para apoyar la actualización de las herramientas ofimaticas del grupo de generación y cobertura, así como participar de los análisis para el plan de generación "/>
    <s v="Octubre"/>
    <s v="Octubre"/>
    <s v="Octu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m/>
    <m/>
    <n v="9970000"/>
    <n v="4985000"/>
    <m/>
    <n v="4985000"/>
  </r>
  <r>
    <x v="0"/>
    <x v="4"/>
    <s v="Energía"/>
    <s v="Si"/>
    <n v="46"/>
    <s v="150-65"/>
    <s v="1 - Aumentar señales de expansión y cobertura del servicio de energía eléctrica"/>
    <s v="2 - DOCUMENTOS DE PLANEACIÓN"/>
    <s v="Documento de planeación validado"/>
    <n v="80111620"/>
    <s v="C-2102-1900-6-40301C-2102009-02"/>
    <s v="Prestación de servicios profesionales y/o de apoyo a la gestión"/>
    <s v="150-65 Prestar servicios profesionales para adelantar el análisis y procesamiento de la información tecnica relacionada con el desarrollo y la ejecución de los proyectos de transmisión objeto de convocatoria pública en la etapa de ejecución"/>
    <s v="Octubre"/>
    <s v="Octubre"/>
    <s v="Octubre"/>
    <n v="2"/>
    <s v="Meses"/>
    <s v="Contratación directa - Prestación de servicios profesionales"/>
    <s v="Propios - 20 - Ingresos corrientes"/>
    <n v="4331963"/>
    <n v="4331963"/>
    <s v="No"/>
    <s v="N/A"/>
    <s v="Jose Lenin Morillo Carrillo"/>
    <s v="Subdirector de Energía Eléctrica"/>
    <n v="6012220601"/>
    <s v="jose.morillo@upme.gov.co"/>
    <m/>
    <m/>
    <m/>
    <m/>
    <m/>
    <m/>
    <m/>
    <m/>
    <m/>
    <m/>
    <m/>
    <m/>
    <m/>
    <m/>
    <m/>
    <m/>
    <m/>
    <m/>
    <m/>
    <m/>
    <n v="4331963"/>
    <n v="4331963"/>
    <m/>
    <m/>
  </r>
  <r>
    <x v="0"/>
    <x v="4"/>
    <s v="Energía"/>
    <s v="Si"/>
    <n v="28"/>
    <s v="150-66"/>
    <s v="1 - Aumentar señales de expansión y cobertura del servicio de energía eléctrica"/>
    <s v="2 - DOCUMENTOS DE PLANEACIÓN"/>
    <s v="Documento de planeación validado"/>
    <n v="80111620"/>
    <s v="C-2102-1900-6-40301C-2102009-02"/>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r>
  <r>
    <x v="0"/>
    <x v="4"/>
    <s v="Energía"/>
    <s v="Si"/>
    <n v="46"/>
    <s v="150-67"/>
    <s v="1 - Aumentar señales de expansión y cobertura del servicio de energía eléctrica"/>
    <s v="2 - DOCUMENTOS DE PLANEACIÓN"/>
    <s v="Documento de planeación validado"/>
    <n v="81111801"/>
    <s v="C-2102-1900-6-40301C-2102009-02"/>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r>
  <r>
    <x v="0"/>
    <x v="4"/>
    <s v="Energía"/>
    <s v="Si"/>
    <n v="46"/>
    <s v="150-6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1111801"/>
    <s v="C-2102-1900-6-40301C-2102071-02"/>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n v="3941700"/>
    <m/>
    <m/>
  </r>
  <r>
    <x v="0"/>
    <x v="4"/>
    <s v="Energía"/>
    <s v="Si"/>
    <n v="42"/>
    <s v="150-69"/>
    <s v="1 - Aumentar señales de expansión y cobertura del servicio de energía eléctrica"/>
    <s v="2 - DOCUMENTOS DE PLANEACIÓN"/>
    <s v="Documento de planeación validado"/>
    <n v="80111620"/>
    <s v="C-2102-1900-6-40301C-2102009-02"/>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Septiembre"/>
    <s v="Octubre"/>
    <s v="Noviembre"/>
    <n v="8"/>
    <s v="Meses"/>
    <s v="Contratación directa - Prestación de servicios profesionales"/>
    <s v="Propios - 20 - Ingresos corrientes"/>
    <n v="426834"/>
    <n v="426834"/>
    <s v="No"/>
    <s v="N/A"/>
    <s v="Jose Lenin Morillo Carrillo"/>
    <s v="Subdirector de Energía Eléctrica"/>
    <n v="6012220601"/>
    <s v="jose.morillo@upme.gov.co"/>
    <m/>
    <m/>
    <m/>
    <m/>
    <m/>
    <m/>
    <m/>
    <m/>
    <m/>
    <m/>
    <m/>
    <m/>
    <m/>
    <m/>
    <m/>
    <m/>
    <m/>
    <m/>
    <m/>
    <m/>
    <m/>
    <m/>
    <m/>
    <m/>
  </r>
  <r>
    <x v="0"/>
    <x v="4"/>
    <s v="Energía"/>
    <s v="Si"/>
    <n v="42"/>
    <s v="150-70"/>
    <s v="1 - Aumentar señales de expansión y cobertura del servicio de energía eléctrica"/>
    <s v="2 - DOCUMENTOS DE PLANEACIÓN"/>
    <s v="Documento de planeación validado"/>
    <n v="80111620"/>
    <s v="C-2102-1900-6-40301C-2102009-02"/>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Septiembre"/>
    <s v="Septiembre"/>
    <s v="Octubre"/>
    <n v="3"/>
    <s v="Meses"/>
    <s v="Contratación directa - Prestación de servicios profesionales"/>
    <s v="Propios - 20 - Ingresos corrientes"/>
    <n v="29862638"/>
    <n v="29862638"/>
    <s v="No"/>
    <s v="N/A"/>
    <s v="Jose Lenin Morillo Carrillo"/>
    <s v="Subdirector de Energía Eléctrica"/>
    <n v="6012220601"/>
    <s v="jose.morillo@upme.gov.co"/>
    <m/>
    <m/>
    <m/>
    <m/>
    <m/>
    <m/>
    <m/>
    <m/>
    <m/>
    <m/>
    <m/>
    <m/>
    <m/>
    <m/>
    <m/>
    <m/>
    <m/>
    <m/>
    <m/>
    <m/>
    <n v="29862638"/>
    <n v="7465659.5"/>
    <m/>
    <n v="22396978.5"/>
  </r>
  <r>
    <x v="0"/>
    <x v="4"/>
    <s v="Energía"/>
    <s v="Si"/>
    <n v="20"/>
    <s v="150-71"/>
    <s v="1 - Aumentar señales de expansión y cobertura del servicio de energía eléctrica"/>
    <s v="2 - DOCUMENTOS DE PLANEACIÓN"/>
    <s v="Documento de planeación validado"/>
    <s v="78102203;78102206"/>
    <s v="C-2102-1900-6-40301C-2102009-02"/>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n v="6250000"/>
    <m/>
    <n v="6250000"/>
    <m/>
    <n v="28453300"/>
  </r>
  <r>
    <x v="0"/>
    <x v="4"/>
    <s v="Energía"/>
    <s v="Si"/>
    <n v="20"/>
    <s v="150-7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s v="78102203;78102206"/>
    <s v="C-2102-1900-6-40301C-2102071-02"/>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r>
  <r>
    <x v="0"/>
    <x v="4"/>
    <s v="Energía"/>
    <s v="Si"/>
    <n v="37"/>
    <s v="150-73"/>
    <s v="1 - Aumentar señales de expansión y cobertura del servicio de energía eléctrica."/>
    <s v="2 - DOCUMENTOS DE PLANEACIÓN"/>
    <s v="Documento de planeación validado"/>
    <n v="80111620"/>
    <s v="C-2102-1900-6-40301C-2102009-02"/>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r>
  <r>
    <x v="0"/>
    <x v="4"/>
    <s v="Energía"/>
    <s v="Si"/>
    <n v="33"/>
    <s v="150-74"/>
    <s v="1 - Aumentar señales de expansión y cobertura del servicio de energía eléctrica"/>
    <s v="2 - DOCUMENTOS DE PLANEACIÓN"/>
    <s v="Documento de planeación validado"/>
    <n v="55101519"/>
    <s v="C-2102-1900-6-40301C-2102009-02"/>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000000"/>
    <m/>
    <n v="1000000"/>
    <m/>
    <n v="3000000"/>
  </r>
  <r>
    <x v="0"/>
    <x v="4"/>
    <s v="Energía"/>
    <s v="Si"/>
    <n v="37"/>
    <s v="150-75"/>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80111620"/>
    <s v="C-2102-1900-6-40301C-2102071-02"/>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6358400"/>
    <n v="6358400"/>
    <s v="No"/>
    <s v="N/A"/>
    <s v="Carlos Alberto Rodriguez"/>
    <s v="Subdirector de Energía Eléctrica "/>
    <n v="6012220601"/>
    <s v="carlos.rodriguez@upme.gov.co"/>
    <m/>
    <m/>
    <m/>
    <m/>
    <m/>
    <m/>
    <m/>
    <m/>
    <m/>
    <m/>
    <m/>
    <m/>
    <m/>
    <m/>
    <m/>
    <m/>
    <n v="291733"/>
    <m/>
    <m/>
    <n v="291733"/>
    <m/>
    <m/>
    <m/>
    <m/>
  </r>
  <r>
    <x v="0"/>
    <x v="4"/>
    <s v="Energía"/>
    <s v="Si"/>
    <n v="46"/>
    <s v="150-76"/>
    <s v="1 - Aumentar señales de expansión y cobertura del servicio de energía eléctrica"/>
    <s v="2 - DOCUMENTOS DE PLANEACIÓN"/>
    <s v="Documento de planeación validado"/>
    <n v="80111620"/>
    <s v="C-2102-1900-6-40301C-2102009-02"/>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660400"/>
    <m/>
    <n v="660400"/>
    <m/>
    <n v="1320800"/>
  </r>
  <r>
    <x v="0"/>
    <x v="4"/>
    <s v="Energía"/>
    <s v="Si"/>
    <n v="39"/>
    <s v="150-77"/>
    <s v="1 - Aumentar señales de expansión y cobertura del servicio de energía eléctrica"/>
    <s v="2 - DOCUMENTOS DE PLANEACIÓN"/>
    <s v="Documento de planeación validado"/>
    <n v="81112501"/>
    <s v="C-2102-1900-6-40301C-2102009-02"/>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n v="60000000"/>
    <m/>
    <n v="60000000"/>
    <m/>
    <n v="60000000"/>
  </r>
  <r>
    <x v="0"/>
    <x v="4"/>
    <s v="Energía"/>
    <s v="Si"/>
    <n v="42"/>
    <s v="150-7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1112501"/>
    <s v="C-2102-1900-6-40301C-2102071-02"/>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Septiembre"/>
    <s v="Octubre"/>
    <s v="Noviembre"/>
    <n v="12"/>
    <s v="Meses"/>
    <s v="Contratación directa"/>
    <s v="Propios - 20 - Ingresos corrientes"/>
    <n v="7084417"/>
    <n v="7084417"/>
    <s v="No"/>
    <s v="N/A"/>
    <s v="Carlos Alberto Rodriguez"/>
    <s v="Subdirector de Energía Eléctrica "/>
    <n v="6012220601"/>
    <s v="carlos.rodriguez@upme.gov.co"/>
    <m/>
    <m/>
    <m/>
    <m/>
    <m/>
    <m/>
    <m/>
    <m/>
    <m/>
    <m/>
    <m/>
    <m/>
    <m/>
    <m/>
    <m/>
    <m/>
    <m/>
    <m/>
    <m/>
    <m/>
    <n v="7084417"/>
    <m/>
    <m/>
    <n v="7084417"/>
  </r>
  <r>
    <x v="0"/>
    <x v="4"/>
    <s v="Energía"/>
    <s v="Si"/>
    <n v="44"/>
    <s v="150-79"/>
    <s v="1 - Aumentar señales de expansión y cobertura del servicio de energía eléctrica"/>
    <s v="2 - DOCUMENTOS DE PLANEACIÓN"/>
    <s v="Documento de planeación validado"/>
    <n v="80111620"/>
    <s v="C-2102-1900-6-40301C-2102009-02"/>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9600000"/>
    <n v="19600000"/>
    <s v="No"/>
    <s v="N/A"/>
    <s v="Carlos Alberto Rodriguez"/>
    <s v="Subdirector de Energía Eléctrica "/>
    <n v="6012220601"/>
    <s v="carlos.rodriguez@upme.gov.co"/>
    <m/>
    <m/>
    <m/>
    <m/>
    <m/>
    <m/>
    <m/>
    <m/>
    <m/>
    <m/>
    <m/>
    <m/>
    <m/>
    <m/>
    <m/>
    <m/>
    <m/>
    <m/>
    <n v="19600000"/>
    <m/>
    <m/>
    <n v="6000000"/>
    <m/>
    <n v="13600000"/>
  </r>
  <r>
    <x v="0"/>
    <x v="4"/>
    <s v="Energía"/>
    <s v="Si"/>
    <n v="46"/>
    <s v="150-80"/>
    <s v="1 - Aumentar señales de expansión y cobertura del servicio de energía eléctrica"/>
    <s v="2 - DOCUMENTOS DE PLANEACIÓN"/>
    <s v="Documento de planeación validado"/>
    <n v="81112003"/>
    <s v="C-2102-1900-6-40301C-2102009-02"/>
    <s v="Software - Licencias"/>
    <s v="150-80 Adquirir el servicio de nube para Backup y DRP"/>
    <s v="Septiembre"/>
    <s v="Octubre"/>
    <s v="Octubre"/>
    <n v="12"/>
    <s v="Meses"/>
    <s v="Seléccion abreviada - acuerdo marco"/>
    <s v="Propios - 20 - Ingresos corrientes"/>
    <n v="10058411"/>
    <n v="10058411"/>
    <s v="No"/>
    <s v="N/A"/>
    <s v="Carlos Alberto Rodriguez"/>
    <s v="Subdirector de Energía Eléctrica "/>
    <n v="6012220601"/>
    <s v="carlos.rodriguez@upme.gov.co"/>
    <m/>
    <m/>
    <m/>
    <m/>
    <m/>
    <m/>
    <m/>
    <m/>
    <m/>
    <m/>
    <m/>
    <m/>
    <m/>
    <m/>
    <m/>
    <m/>
    <m/>
    <m/>
    <n v="10058411"/>
    <m/>
    <m/>
    <m/>
    <m/>
    <n v="10058411"/>
  </r>
  <r>
    <x v="0"/>
    <x v="4"/>
    <s v="Energía"/>
    <s v="Si"/>
    <n v="46"/>
    <s v="150-81"/>
    <s v="1 - Aumentar señales de expansión y cobertura del servicio de energía eléctrica"/>
    <s v="2 - DOCUMENTOS DE PLANEACIÓN"/>
    <s v="Documento de planeación validado"/>
    <n v="81112210"/>
    <s v="C-2102-1900-6-40301C-2102009-02"/>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r>
  <r>
    <x v="0"/>
    <x v="4"/>
    <s v="Energía"/>
    <s v="Si"/>
    <n v="47"/>
    <s v="150-8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43233600"/>
    <s v="C-2102-1900-6-40301C-2102071-02"/>
    <s v="Software - Licencias"/>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Contratación directa"/>
    <s v="Propios - 20 - Ingresos corrientes"/>
    <n v="14168834"/>
    <n v="14168834"/>
    <s v="No"/>
    <s v="N/A"/>
    <s v="Carlos Alberto Rodriguez"/>
    <s v="Subdirector de Energía Eléctrica "/>
    <n v="6012220601"/>
    <s v="carlos.rodriguez@upme.gov.co"/>
    <m/>
    <m/>
    <m/>
    <m/>
    <m/>
    <m/>
    <m/>
    <m/>
    <m/>
    <m/>
    <m/>
    <m/>
    <m/>
    <m/>
    <m/>
    <m/>
    <m/>
    <m/>
    <n v="14168834"/>
    <m/>
    <m/>
    <n v="14168834"/>
    <m/>
    <m/>
  </r>
  <r>
    <x v="0"/>
    <x v="5"/>
    <s v="Minería"/>
    <s v="Si"/>
    <s v="75 (30/12/2024)"/>
    <s v="140-1"/>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r>
  <r>
    <x v="0"/>
    <x v="5"/>
    <s v="Minería"/>
    <s v="Si"/>
    <s v="75 (30/12/2024)"/>
    <s v="140-2"/>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r>
  <r>
    <x v="0"/>
    <x v="5"/>
    <s v="Minería"/>
    <s v="Si"/>
    <n v="29"/>
    <s v="140-3"/>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9279267"/>
    <n v="89279267"/>
    <s v="No"/>
    <s v="N/A"/>
    <s v="Olga Tatiana Araque"/>
    <s v="Subdirector de Minería"/>
    <n v="6012220601"/>
    <s v="olga.araque@upme.gov.co"/>
    <n v="81279263"/>
    <m/>
    <m/>
    <n v="3769473"/>
    <m/>
    <n v="7067762"/>
    <m/>
    <n v="7067762"/>
    <m/>
    <n v="7067762"/>
    <m/>
    <n v="7067762"/>
    <m/>
    <n v="7067762"/>
    <n v="8000000"/>
    <n v="7067762"/>
    <m/>
    <n v="9488328"/>
    <m/>
    <n v="10067762"/>
    <m/>
    <n v="9567762"/>
    <n v="4"/>
    <n v="13979370"/>
  </r>
  <r>
    <x v="0"/>
    <x v="5"/>
    <s v="Minería"/>
    <s v="Si"/>
    <n v="16"/>
    <s v="140-4"/>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r>
  <r>
    <x v="0"/>
    <x v="5"/>
    <s v="Minería"/>
    <s v="Si"/>
    <n v="45"/>
    <s v="140-5"/>
    <s v="2 - Ampliar el conocimiento de los encadenamientos productivos asociados a la actividad minera por parte de los actores del sector."/>
    <s v="4 - DOCUMENTOS DE PLANEACIÓN"/>
    <s v="Diagnóstico"/>
    <s v="N/A"/>
    <s v="C-2106-1900-12-40302A-2106003-02"/>
    <s v="Prestación de servicios profesionales y/o de apoyo a la gestión"/>
    <s v="140-5 Prestar servicios profesionales para la divulgación y socialización de los procesos, planes y documentos de la Subdirección de Minería"/>
    <s v="Septiembre"/>
    <s v="Octubre"/>
    <s v="Noviembre"/>
    <n v="3"/>
    <s v="Meses"/>
    <s v="Contratación directa"/>
    <s v="Propios - 20 - Ingresos corrientes"/>
    <n v="4600000"/>
    <n v="4600000"/>
    <s v="No"/>
    <s v="N/A"/>
    <s v="Olga Tatiana Araque"/>
    <s v="Subdirector de Minería"/>
    <n v="6012220601"/>
    <s v="olga.araque@upme.gov.co"/>
    <m/>
    <m/>
    <m/>
    <m/>
    <m/>
    <m/>
    <m/>
    <m/>
    <m/>
    <m/>
    <m/>
    <m/>
    <m/>
    <m/>
    <m/>
    <m/>
    <m/>
    <m/>
    <n v="4600000"/>
    <m/>
    <m/>
    <m/>
    <m/>
    <n v="4600000"/>
  </r>
  <r>
    <x v="0"/>
    <x v="5"/>
    <s v="Minería"/>
    <s v="Si"/>
    <n v="45"/>
    <s v="140-6"/>
    <s v="2 - Ampliar el conocimiento de los encadenamientos productivos asociados a la actividad minera por parte de los actores del sector."/>
    <s v="4 - DOCUMENTOS DE PLANEACIÓN"/>
    <s v="Documento de planeación validado"/>
    <s v="N/A"/>
    <s v="C-2106-1900-12-40302A-2106003-02"/>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20447305"/>
    <n v="20447305"/>
    <s v="No"/>
    <s v="N/A"/>
    <s v="Olga Tatiana Araque"/>
    <s v="Subdirector de Minería"/>
    <n v="6012220601"/>
    <s v="olga.araque@upme.gov.co"/>
    <m/>
    <m/>
    <m/>
    <m/>
    <m/>
    <m/>
    <m/>
    <m/>
    <n v="6443381"/>
    <n v="6443381"/>
    <n v="1315736"/>
    <n v="1069794"/>
    <n v="5372495"/>
    <n v="5121102"/>
    <n v="1186328"/>
    <n v="251393"/>
    <n v="5869900"/>
    <n v="7056228"/>
    <n v="259465"/>
    <n v="505407"/>
    <m/>
    <m/>
    <m/>
    <m/>
  </r>
  <r>
    <x v="0"/>
    <x v="5"/>
    <s v="Minería"/>
    <s v="Si"/>
    <n v="18"/>
    <s v="140-7"/>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r>
  <r>
    <x v="0"/>
    <x v="5"/>
    <s v="Minería"/>
    <s v="Si"/>
    <n v="2"/>
    <s v="140-8"/>
    <s v="2 - Ampliar el conocimiento de los encadenamientos productivos asociados a la actividad minera por parte de los actores del sector."/>
    <s v="4 - DOCUMENTOS DE PLANEACIÓN"/>
    <s v="Documento de planeación preliminar"/>
    <n v="78111502"/>
    <s v="C-2106-1900-12-40302A-2106003-02"/>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2000000"/>
    <m/>
    <n v="2200000"/>
    <m/>
    <n v="3721107"/>
  </r>
  <r>
    <x v="0"/>
    <x v="5"/>
    <s v="Minería"/>
    <s v="Si"/>
    <n v="5"/>
    <s v="140-9"/>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7724300"/>
    <n v="127724300"/>
    <s v="No"/>
    <s v="N/A"/>
    <s v="Olga Tatiana Araque"/>
    <s v="Subdirector de Minería"/>
    <n v="6012220601"/>
    <s v="olga.araque@upme.gov.co"/>
    <m/>
    <m/>
    <n v="81279100"/>
    <m/>
    <n v="44122940"/>
    <n v="9289040"/>
    <m/>
    <n v="11611300"/>
    <m/>
    <n v="11611300"/>
    <m/>
    <n v="11611300"/>
    <m/>
    <n v="11611300"/>
    <m/>
    <n v="11611300"/>
    <m/>
    <n v="11611300"/>
    <m/>
    <n v="11611300"/>
    <m/>
    <n v="11611300"/>
    <n v="2322260"/>
    <n v="25544860"/>
  </r>
  <r>
    <x v="0"/>
    <x v="5"/>
    <s v="Minería"/>
    <s v="Si"/>
    <n v="5"/>
    <s v="140-10"/>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r>
  <r>
    <x v="0"/>
    <x v="5"/>
    <s v="Minería"/>
    <s v="Si"/>
    <s v="75 (30/12/2024)"/>
    <s v="140-11"/>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852500"/>
    <n v="49852500"/>
    <s v="No"/>
    <s v="N/A"/>
    <s v="Olga Tatiana Araque"/>
    <s v="Subdirector de Minería"/>
    <n v="6012220601"/>
    <s v="olga.araque@upme.gov.co"/>
    <n v="49852500"/>
    <m/>
    <n v="-144500"/>
    <n v="2023000"/>
    <m/>
    <n v="4335000"/>
    <m/>
    <n v="4335000"/>
    <m/>
    <n v="4335000"/>
    <m/>
    <n v="4335000"/>
    <m/>
    <n v="4335000"/>
    <m/>
    <n v="4335000"/>
    <m/>
    <n v="4335000"/>
    <m/>
    <n v="4335000"/>
    <m/>
    <n v="4335000"/>
    <n v="144500"/>
    <n v="8814500"/>
  </r>
  <r>
    <x v="0"/>
    <x v="5"/>
    <s v="Minería"/>
    <s v="Si"/>
    <n v="18"/>
    <s v="140-12"/>
    <s v="3 - Fortalecer la gestión integral de la información de la planeación minera."/>
    <s v="1 - SERVICIO DE DIVULGACIÓN DEL SECTOR MINERO ENERGÉTICO"/>
    <s v="Desarrollar herramientas para el análisis, proyección y divulgación de la información minera"/>
    <n v="81121503"/>
    <s v="C-2106-1900-12-40302A-2106019-02"/>
    <s v="Estudios"/>
    <s v="140-12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 Contratos interadministrativos"/>
    <s v="Propios - 20 - Ingresos corrientes"/>
    <n v="60000000"/>
    <n v="60000000"/>
    <s v="No"/>
    <s v="N/A"/>
    <s v="Olga Tatiana Araque"/>
    <s v="Subdirector de Minería"/>
    <n v="6012220601"/>
    <s v="olga.araque@upme.gov.co"/>
    <m/>
    <m/>
    <m/>
    <m/>
    <m/>
    <m/>
    <m/>
    <m/>
    <m/>
    <m/>
    <m/>
    <m/>
    <m/>
    <m/>
    <m/>
    <m/>
    <m/>
    <m/>
    <n v="60000000"/>
    <n v="34917708"/>
    <m/>
    <m/>
    <m/>
    <n v="25082292"/>
  </r>
  <r>
    <x v="0"/>
    <x v="5"/>
    <s v="Minería"/>
    <s v="Si"/>
    <n v="5"/>
    <s v="140-13"/>
    <s v="3 - Fortalecer la gestión integral de la información de la planeación minera."/>
    <s v="1 - SERVICIO DE DIVULGACIÓN DEL SECTOR MINERO ENERGÉTICO"/>
    <s v="Desarrollar herramientas para el análisis, proyección y divulgación de la información minera"/>
    <n v="80111620"/>
    <s v="C-2106-1900-12-40302A-2106019-0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r>
  <r>
    <x v="0"/>
    <x v="5"/>
    <s v="Minería"/>
    <s v="Si"/>
    <n v="33"/>
    <s v="140-14"/>
    <s v="3 - Fortalecer la gestión integral de la información de la planeación minera."/>
    <s v="1 - SERVICIO DE DIVULGACIÓN DEL SECTOR MINERO ENERGÉTICO"/>
    <s v="Apropiar Insumos para el análisis de Mercado Nacional e internacional de minerales y sus encadenamientos productivos"/>
    <n v="93151509"/>
    <s v="C-2106-1900-12-40302A-2106019-0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5"/>
    <m/>
    <m/>
    <n v="-16143585"/>
    <m/>
    <m/>
    <m/>
    <m/>
    <m/>
    <m/>
    <m/>
    <m/>
    <m/>
    <m/>
    <m/>
  </r>
  <r>
    <x v="0"/>
    <x v="5"/>
    <s v="Minería"/>
    <s v="Si"/>
    <n v="33"/>
    <s v="140-15"/>
    <s v="3 - Fortalecer la gestión integral de la información de la planeación minera."/>
    <s v="1 - SERVICIO DE DIVULGACIÓN DEL SECTOR MINERO ENERGÉTICO"/>
    <s v="Apropiar Insumos para el análisis de Mercado Nacional e internacional de minerales y sus encadenamientos productivos"/>
    <n v="93151510"/>
    <s v="C-2106-1900-12-40302A-2106019-0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m/>
    <m/>
  </r>
  <r>
    <x v="0"/>
    <x v="5"/>
    <s v="Minería"/>
    <s v="Si"/>
    <n v="33"/>
    <s v="140-16"/>
    <s v="3 - Fortalecer la gestión integral de la información de la planeación minera."/>
    <s v="1 - SERVICIO DE DIVULGACIÓN DEL SECTOR MINERO ENERGÉTICO"/>
    <s v="Apropiar Insumos para el análisis de Mercado Nacional e internacional de minerales y sus encadenamientos productivos"/>
    <n v="93151511"/>
    <s v="C-2106-1900-12-40302A-2106019-02"/>
    <s v="Software - Suscripciones"/>
    <s v="140-16 Renovación de la suscripción ONLINE de Baltic Exchange."/>
    <s v="Noviembre"/>
    <s v="Diciembre"/>
    <s v="Diciembre"/>
    <n v="12"/>
    <s v="Meses"/>
    <s v="Contratación directa - único oferente"/>
    <s v="Propios - 20 - Ingresos corrientes"/>
    <n v="43809965"/>
    <n v="43809965"/>
    <s v="No"/>
    <s v="N/A"/>
    <s v="Olga Tatiana Araque"/>
    <s v="Subdirector de Minería"/>
    <n v="6012220601"/>
    <s v="olga.araque@upme.gov.co"/>
    <m/>
    <m/>
    <m/>
    <m/>
    <m/>
    <m/>
    <m/>
    <m/>
    <m/>
    <m/>
    <m/>
    <m/>
    <m/>
    <m/>
    <m/>
    <m/>
    <m/>
    <m/>
    <m/>
    <m/>
    <m/>
    <m/>
    <n v="43809965"/>
    <n v="43809965"/>
  </r>
  <r>
    <x v="0"/>
    <x v="5"/>
    <s v="Minería"/>
    <s v="Si"/>
    <n v="45"/>
    <s v="140-17"/>
    <s v="3 - Fortalecer la gestión integral de la información de la planeación minera."/>
    <s v="1 - SERVICIO DE DIVULGACIÓN DEL SECTOR MINERO ENERGÉTICO"/>
    <s v="Apropiar Insumos para el análisis de Mercado Nacional e internacional de minerales y sus encadenamientos productivos"/>
    <n v="80101507"/>
    <s v="C-2106-1900-12-40302A-2106019-0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r>
  <r>
    <x v="0"/>
    <x v="5"/>
    <s v="Minería"/>
    <s v="Si"/>
    <n v="45"/>
    <s v="140-18"/>
    <s v="3 - Fortalecer la gestión integral de la información de la planeación minera."/>
    <s v="1 - SERVICIO DE DIVULGACIÓN DEL SECTOR MINERO ENERGÉTICO"/>
    <s v="Apropiar insumos para el análisis de Mercado Internacional de minerales y sus tendencias a largo plazo"/>
    <n v="80101507"/>
    <s v="C-2106-1900-12-40302A-2106019-0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n v="195000000"/>
    <m/>
    <m/>
  </r>
  <r>
    <x v="0"/>
    <x v="5"/>
    <s v="Minería"/>
    <s v="Si"/>
    <s v="75 (30/12/2024)"/>
    <s v="140-19"/>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r>
  <r>
    <x v="0"/>
    <x v="5"/>
    <s v="Minería"/>
    <s v="Si"/>
    <s v="75 (30/12/2024)"/>
    <s v="140-20"/>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r>
  <r>
    <x v="0"/>
    <x v="5"/>
    <s v="Minería"/>
    <s v="Si"/>
    <n v="32"/>
    <s v="140-21"/>
    <s v="2 - Ampliar el conocimiento de los encadenamientos productivos asociados a la actividad minera por parte de los actores del sector."/>
    <s v="4 - DOCUMENTOS DE PLANEACIÓN"/>
    <s v="Documento de planeación preliminar"/>
    <n v="43233501"/>
    <s v="C-2106-1900-12-40302A-2106003-02"/>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n v="13600000"/>
    <m/>
    <m/>
    <m/>
    <m/>
  </r>
  <r>
    <x v="0"/>
    <x v="5"/>
    <s v="Minería"/>
    <s v="Si"/>
    <s v="75 (30/12/2024)"/>
    <s v="140-22"/>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426767"/>
    <n v="31426767"/>
    <s v="No"/>
    <s v="N/A"/>
    <s v="Olga Tatiana Araque"/>
    <s v="Subdirector de Minería"/>
    <n v="6012220601"/>
    <s v="olga.araque@upme.gov.co"/>
    <n v="31333745"/>
    <m/>
    <m/>
    <n v="471184"/>
    <m/>
    <n v="7067762"/>
    <m/>
    <n v="7067762"/>
    <m/>
    <n v="7067762"/>
    <m/>
    <n v="7067762"/>
    <m/>
    <m/>
    <m/>
    <m/>
    <m/>
    <m/>
    <m/>
    <m/>
    <m/>
    <m/>
    <n v="93022"/>
    <n v="2684535"/>
  </r>
  <r>
    <x v="0"/>
    <x v="5"/>
    <s v="Minería"/>
    <s v="Si"/>
    <n v="5"/>
    <s v="140-23"/>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823600"/>
    <n v="31823600"/>
    <s v="No"/>
    <s v="N/A"/>
    <s v="Olga Tatiana Araque"/>
    <s v="Subdirector de Minería"/>
    <n v="6012220601"/>
    <s v="olga.araque@upme.gov.co"/>
    <m/>
    <m/>
    <m/>
    <m/>
    <m/>
    <m/>
    <m/>
    <m/>
    <n v="31333745"/>
    <m/>
    <m/>
    <m/>
    <m/>
    <n v="7067762"/>
    <m/>
    <n v="7067762"/>
    <m/>
    <n v="7067762"/>
    <m/>
    <n v="7067762"/>
    <m/>
    <n v="3552552"/>
    <n v="489855"/>
    <m/>
  </r>
  <r>
    <x v="0"/>
    <x v="5"/>
    <s v="Minería"/>
    <s v="Si"/>
    <n v="5"/>
    <s v="140-24"/>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r>
  <r>
    <x v="0"/>
    <x v="5"/>
    <s v="Minería"/>
    <s v="Si"/>
    <n v="5"/>
    <s v="140-25"/>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r>
  <r>
    <x v="0"/>
    <x v="5"/>
    <s v="Minería"/>
    <s v="Si"/>
    <n v="16"/>
    <s v="140-26"/>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r>
  <r>
    <x v="0"/>
    <x v="5"/>
    <s v="Minería"/>
    <s v="Si"/>
    <n v="18"/>
    <s v="140-27"/>
    <s v="2 - Ampliar el conocimiento de los encadenamientos productivos asociados a la actividad minera por parte de los actores del sector"/>
    <s v="4 - DOCUMENTOS DE PLANEACIÓN"/>
    <s v="Documento de planeación validado"/>
    <n v="81121503"/>
    <s v="C-2106-1900-12-40302A-2106003-02"/>
    <s v="Estudios"/>
    <s v="140-27 Elaborar los balances oferta utilización de 34 productos mineros y la cuenta de producción y generación del ingreso de 10 actividades económicas mineras CIIU Rev. 4 A.C. para 2023 en versión provisional para la operación estadística cuenta satélite"/>
    <s v="Abril"/>
    <s v="Junio"/>
    <s v="Junio"/>
    <n v="6"/>
    <s v="Meses"/>
    <s v="Contratación directa- Contratos Interadministrativos"/>
    <s v="Propios - 20 - Ingresos corrientes"/>
    <n v="9835415"/>
    <n v="9835415"/>
    <s v="No"/>
    <s v="N/A"/>
    <s v="Olga Tatiana Araque"/>
    <s v="Subdirector de Minería"/>
    <n v="6012220601"/>
    <s v="olga.araque@upme.gov.co"/>
    <m/>
    <m/>
    <m/>
    <m/>
    <m/>
    <m/>
    <m/>
    <m/>
    <m/>
    <m/>
    <m/>
    <m/>
    <m/>
    <m/>
    <m/>
    <m/>
    <m/>
    <m/>
    <n v="9835415"/>
    <m/>
    <m/>
    <m/>
    <m/>
    <n v="9835415"/>
  </r>
  <r>
    <x v="0"/>
    <x v="5"/>
    <s v="Minería"/>
    <s v="Si"/>
    <n v="33"/>
    <s v="140-28"/>
    <s v="3 - Fortalecer la gestión integral de la información de la planeación minera."/>
    <s v="1 - SERVICIO DE DIVULGACIÓN DEL SECTOR MINERO ENERGÉTICO"/>
    <s v="Apropiar Insumos para el análisis de Mercado Nacional e internacional de minerales y sus encadenamientos productivos"/>
    <n v="55101519"/>
    <s v="C-2106-1900-12-40302A-2106019-0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m/>
    <m/>
    <m/>
    <m/>
    <n v="9000000"/>
  </r>
  <r>
    <x v="0"/>
    <x v="5"/>
    <s v="Minería"/>
    <s v="Si"/>
    <n v="33"/>
    <s v="140-29"/>
    <s v="2 - Ampliar el conocimiento de los encadenamientos productivos asociados a la actividad minera por parte de los actores del sector"/>
    <s v="4 - DOCUMENTOS DE PLANEACIÓN"/>
    <s v="Diagnóstico"/>
    <n v="43233501"/>
    <s v="C-2106-1900-12-40302A-2106003-02"/>
    <s v="Software-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r>
  <r>
    <x v="0"/>
    <x v="5"/>
    <s v="Minería"/>
    <s v="Si"/>
    <n v="37"/>
    <s v="140-30"/>
    <s v="3 - Fortalecer la gestión integral de la información de la planeación minera."/>
    <s v="1 - SERVICIO DE DIVULGACIÓN DEL SECTOR MINERO ENERGÉTICO"/>
    <s v="Apropiar insumos para el análisis de Mercado Internacional de minerales y sus tendencias a largo plazo"/>
    <n v="80111620"/>
    <s v="C-2106-1900-12-40302A-2106019-0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45000000"/>
    <n v="45000000"/>
    <s v="No"/>
    <s v="N/A"/>
    <s v="Luz Mireya Gomez"/>
    <s v="Subdirector de Minería (E)"/>
    <n v="6012220601"/>
    <s v="eric.vargas@upme.gov.co"/>
    <m/>
    <m/>
    <m/>
    <m/>
    <m/>
    <m/>
    <m/>
    <m/>
    <m/>
    <m/>
    <m/>
    <m/>
    <m/>
    <m/>
    <m/>
    <m/>
    <m/>
    <m/>
    <n v="39000000"/>
    <n v="2166667"/>
    <m/>
    <n v="13000000"/>
    <m/>
    <n v="23833333"/>
  </r>
  <r>
    <x v="0"/>
    <x v="5"/>
    <s v="Minería"/>
    <s v="Si"/>
    <n v="45"/>
    <s v="140-31"/>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10000000"/>
    <n v="10000000"/>
    <s v="No"/>
    <s v="N/A"/>
    <s v="German Ojeda"/>
    <s v="Subdirector de Minería (E)"/>
    <n v="6012220601"/>
    <s v="german.ojeda@upme.gov.co"/>
    <m/>
    <m/>
    <m/>
    <m/>
    <m/>
    <m/>
    <m/>
    <m/>
    <m/>
    <m/>
    <m/>
    <m/>
    <m/>
    <m/>
    <m/>
    <m/>
    <m/>
    <m/>
    <n v="10000000"/>
    <m/>
    <m/>
    <n v="5000000"/>
    <m/>
    <n v="5000000"/>
  </r>
  <r>
    <x v="0"/>
    <x v="6"/>
    <s v="G. Información"/>
    <s v="Si"/>
    <n v="35"/>
    <s v="131-1"/>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72327750"/>
    <n v="72327750"/>
    <s v="No"/>
    <s v="N/A"/>
    <s v="Johanna Stella Castellanos"/>
    <s v="Subdirectora de Gestión de la Información"/>
    <n v="6012220601"/>
    <s v="johanna.castellanos@upme.gov.co"/>
    <m/>
    <m/>
    <n v="68250000"/>
    <m/>
    <m/>
    <n v="3683333"/>
    <m/>
    <n v="6500000"/>
    <m/>
    <n v="6500000"/>
    <m/>
    <n v="6500000"/>
    <m/>
    <n v="6500000"/>
    <m/>
    <n v="6500000"/>
    <m/>
    <n v="6500000"/>
    <m/>
    <n v="6500000"/>
    <m/>
    <n v="6500000"/>
    <m/>
    <n v="13000000"/>
  </r>
  <r>
    <x v="0"/>
    <x v="6"/>
    <s v="G. Información"/>
    <s v="Si"/>
    <n v="4"/>
    <s v="131-2"/>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4000000"/>
    <n v="44000000"/>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r>
  <r>
    <x v="0"/>
    <x v="6"/>
    <s v="G. Información"/>
    <s v="Si"/>
    <n v="6"/>
    <s v="131-3"/>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42000000"/>
    <n v="42000000"/>
    <s v="No"/>
    <s v="N/A"/>
    <s v="Johanna Stella Castellanos"/>
    <s v="Subdirectora de Gestión de la Información"/>
    <n v="6012220601"/>
    <s v="johanna.castellanos@upme.gov.co"/>
    <n v="42000000"/>
    <m/>
    <m/>
    <n v="4000000"/>
    <m/>
    <n v="4000000"/>
    <m/>
    <n v="4000000"/>
    <m/>
    <n v="4000000"/>
    <m/>
    <n v="4000000"/>
    <n v="-3333333"/>
    <n v="4000000"/>
    <m/>
    <m/>
    <m/>
    <n v="1600000"/>
    <n v="-10666667"/>
    <m/>
    <m/>
    <m/>
    <m/>
    <m/>
  </r>
  <r>
    <x v="0"/>
    <x v="6"/>
    <s v="G. Información"/>
    <s v="Si"/>
    <n v="4"/>
    <s v="131-4"/>
    <s v="1 - Fortalecer la implementación de la política de gobierno de datos y gestión de información del sector minero energético."/>
    <s v="1 - DOCUMENTOS DE LINEAMIENTOS TÉCNICOS PARA EL GOBIERNO DE DATOS Y GESTIÓN DE LA INFORMACIÓN"/>
    <s v="Divulgación"/>
    <n v="80111620"/>
    <s v="C-2106-1900-14-53105B-2106010-02"/>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r>
  <r>
    <x v="0"/>
    <x v="6"/>
    <s v="G. Información"/>
    <s v="Si"/>
    <n v="3"/>
    <s v="131-5"/>
    <s v="1 - Fortalecer la implementación de la política de gobierno de datos y gestión de información del sector minero energético."/>
    <s v="1 - SERVICIO DE INFORMACIÓN IMPLEMENTADO E INTEROPERADO"/>
    <s v="Diseño técnico y funcional"/>
    <n v="80111620"/>
    <s v="C-2106-1900-14-53105B-2106034-02"/>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7000000"/>
    <m/>
    <n v="8000000"/>
    <m/>
    <n v="16000000"/>
  </r>
  <r>
    <x v="0"/>
    <x v="6"/>
    <s v="G. Información"/>
    <s v="Si"/>
    <n v="3"/>
    <s v="131-6"/>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n v="1000000"/>
    <m/>
    <m/>
    <m/>
    <m/>
  </r>
  <r>
    <x v="0"/>
    <x v="6"/>
    <s v="G. Información"/>
    <s v="Si"/>
    <n v="3"/>
    <s v="131-7"/>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9000000"/>
    <n v="9000000"/>
    <s v="No"/>
    <s v="N/A"/>
    <s v="Johanna Stella Castellanos"/>
    <s v="Subdirectora de Gestión de la Información"/>
    <n v="6012220601"/>
    <s v="johanna.castellanos@upme.gov.co"/>
    <n v="9000000"/>
    <m/>
    <n v="-750000"/>
    <m/>
    <m/>
    <m/>
    <m/>
    <m/>
    <m/>
    <m/>
    <m/>
    <m/>
    <m/>
    <m/>
    <m/>
    <m/>
    <m/>
    <m/>
    <m/>
    <m/>
    <m/>
    <n v="4500000"/>
    <m/>
    <n v="3750000"/>
  </r>
  <r>
    <x v="0"/>
    <x v="6"/>
    <s v="G. Información"/>
    <s v="Si"/>
    <s v="75 (30/12/2024)"/>
    <s v="131-8"/>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r>
  <r>
    <x v="0"/>
    <x v="6"/>
    <s v="G. Información"/>
    <s v="Si"/>
    <n v="35"/>
    <s v="131-9"/>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6797600"/>
    <n v="867976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r>
  <r>
    <x v="0"/>
    <x v="6"/>
    <s v="G. Información"/>
    <s v="Si"/>
    <n v="6"/>
    <s v="131-10"/>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r>
  <r>
    <x v="0"/>
    <x v="6"/>
    <s v="G. Información"/>
    <s v="Si"/>
    <n v="35"/>
    <s v="131-11"/>
    <s v="1 - Fortalecer la implementación de la política de gobierno de datos y gestión de información del sector minero energético."/>
    <s v="1 - SERVICIO DE INFORMACIÓN IMPLEMENTADO E INTEROPERADO"/>
    <s v="Pruebas y aseguramiento de calidad"/>
    <n v="43233400"/>
    <s v="C-2106-1900-14-53105B-2106034-02"/>
    <s v="Software-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13202400"/>
    <n v="13202400"/>
    <s v="No"/>
    <s v="N/A"/>
    <s v="Johanna Stella Castellanos"/>
    <s v="Subdirectora de Gestión de la Información"/>
    <n v="6012220601"/>
    <s v="johanna.castellanos@upme.gov.co"/>
    <m/>
    <m/>
    <m/>
    <m/>
    <m/>
    <m/>
    <m/>
    <m/>
    <m/>
    <m/>
    <m/>
    <m/>
    <m/>
    <m/>
    <m/>
    <m/>
    <m/>
    <m/>
    <n v="13202400"/>
    <m/>
    <m/>
    <n v="13202400"/>
    <m/>
    <m/>
  </r>
  <r>
    <x v="0"/>
    <x v="6"/>
    <s v="G. Información"/>
    <s v="Si"/>
    <n v="3"/>
    <s v="131-12"/>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n v="4500000"/>
    <m/>
    <m/>
    <m/>
    <n v="2050000"/>
  </r>
  <r>
    <x v="0"/>
    <x v="6"/>
    <s v="G. Información"/>
    <s v="Si"/>
    <s v="75 (30/12/2024)"/>
    <s v="131-13"/>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r>
  <r>
    <x v="0"/>
    <x v="6"/>
    <s v="G. Información"/>
    <s v="Si"/>
    <s v="75 (30/12/2024)"/>
    <s v="131-14"/>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r>
  <r>
    <x v="0"/>
    <x v="6"/>
    <s v="G. Información"/>
    <s v="Si"/>
    <n v="4"/>
    <s v="131-15"/>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r>
  <r>
    <x v="0"/>
    <x v="6"/>
    <s v="G. Información"/>
    <s v="Si"/>
    <n v="3"/>
    <s v="131-16"/>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r>
  <r>
    <x v="0"/>
    <x v="6"/>
    <s v="G. Información"/>
    <s v="Si"/>
    <n v="27"/>
    <s v="131-17"/>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r>
  <r>
    <x v="0"/>
    <x v="6"/>
    <s v="G. Información"/>
    <s v="Si"/>
    <s v="75 (30/12/2024)"/>
    <s v="131-18"/>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r>
  <r>
    <x v="0"/>
    <x v="6"/>
    <s v="G. Información"/>
    <s v="Si"/>
    <n v="27"/>
    <s v="131-19"/>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r>
  <r>
    <x v="0"/>
    <x v="6"/>
    <s v="G. Información"/>
    <s v="Si"/>
    <n v="27"/>
    <s v="131-20"/>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r>
  <r>
    <x v="0"/>
    <x v="6"/>
    <s v="G. Información"/>
    <s v="Si"/>
    <s v="75 (30/12/2024)"/>
    <s v="131-21"/>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r>
  <r>
    <x v="0"/>
    <x v="6"/>
    <s v="G. Información"/>
    <s v="Si"/>
    <n v="27"/>
    <s v="131-22"/>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3630000"/>
    <m/>
    <n v="3630000"/>
    <m/>
    <n v="9798876"/>
  </r>
  <r>
    <x v="0"/>
    <x v="6"/>
    <s v="G. Información"/>
    <s v="Si"/>
    <n v="27"/>
    <s v="131-23"/>
    <s v="2 - Mejorar la calidad de la información producida por el sector minero energético."/>
    <s v="1- DOCUMENTOS DE LINEAMIENTOS TÉCNICOS PARA LA PRODUCCIÓN DE INFORMACIÓN DEL SECTOR CON ESTÁNDARES DE CALIDAD"/>
    <s v="Divulgación"/>
    <n v="43232605"/>
    <s v="C-2106-1900-14-53105B-2106010-02"/>
    <s v="Software-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r>
  <r>
    <x v="0"/>
    <x v="6"/>
    <s v="G. Información"/>
    <s v="Si"/>
    <n v="4"/>
    <s v="131-24"/>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r>
  <r>
    <x v="0"/>
    <x v="6"/>
    <s v="G. Información"/>
    <s v="Si"/>
    <n v="44"/>
    <s v="131-25"/>
    <s v="2 - Mejorar la calidad de la información producida por el sector minero energético."/>
    <s v="1 - SERVICIO DE INFORMACIÓN ACTUALIZADO PARA EL ANÁLISIS Y TOMA DE DECISIONES ESTRATÉGICAS DEL SECTOR"/>
    <s v="Diseño técnico y funcional"/>
    <n v="80111620"/>
    <s v="C-2106-1900-14-53105B-2106033-02"/>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27980000"/>
    <n v="27980000"/>
    <s v="No"/>
    <s v="N/A"/>
    <s v="Johanna Stella Castellanos"/>
    <s v="Subdirectora de Gestión de la Información"/>
    <n v="6012220601"/>
    <s v="johanna.castellanos@upme.gov.co"/>
    <m/>
    <m/>
    <m/>
    <m/>
    <m/>
    <m/>
    <m/>
    <m/>
    <m/>
    <m/>
    <m/>
    <m/>
    <m/>
    <m/>
    <m/>
    <m/>
    <m/>
    <m/>
    <m/>
    <m/>
    <m/>
    <m/>
    <m/>
    <m/>
  </r>
  <r>
    <x v="0"/>
    <x v="6"/>
    <s v="G. Información"/>
    <s v="Si"/>
    <n v="35"/>
    <s v="131-26"/>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2000000"/>
    <n v="32000000"/>
    <s v="No"/>
    <s v="N/A"/>
    <s v="Johanna Stella Castellanos"/>
    <s v="Subdirectora de Gestión de la Información"/>
    <n v="6012220601"/>
    <s v="johanna.castellanos@upme.gov.co"/>
    <m/>
    <m/>
    <m/>
    <m/>
    <m/>
    <m/>
    <m/>
    <m/>
    <m/>
    <m/>
    <m/>
    <m/>
    <n v="31200000"/>
    <m/>
    <m/>
    <m/>
    <n v="-1200000"/>
    <n v="6000000"/>
    <m/>
    <n v="6000000"/>
    <m/>
    <n v="6000000"/>
    <m/>
    <n v="12000000"/>
  </r>
  <r>
    <x v="0"/>
    <x v="6"/>
    <s v="G. Información"/>
    <s v="Si"/>
    <n v="6"/>
    <s v="131-27"/>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r>
  <r>
    <x v="0"/>
    <x v="6"/>
    <s v="G. Información"/>
    <s v="Si"/>
    <n v="35"/>
    <s v="131-28"/>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
    <s v="Agosto"/>
    <s v="Agosto"/>
    <s v="Agosto"/>
    <n v="5"/>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m/>
    <m/>
    <n v="27000000"/>
    <m/>
    <m/>
    <n v="400000"/>
    <n v="-2600000"/>
    <n v="6000000"/>
    <m/>
    <n v="6000000"/>
    <m/>
    <n v="12000000"/>
  </r>
  <r>
    <x v="0"/>
    <x v="6"/>
    <s v="G. Información"/>
    <s v="Si"/>
    <n v="3"/>
    <s v="131-29"/>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r>
  <r>
    <x v="0"/>
    <x v="6"/>
    <s v="G. Información"/>
    <s v="Si"/>
    <n v="6"/>
    <s v="131-30"/>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r>
  <r>
    <x v="0"/>
    <x v="6"/>
    <s v="G. Información"/>
    <s v="Si"/>
    <n v="35"/>
    <s v="131-31"/>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r>
  <r>
    <x v="0"/>
    <x v="6"/>
    <s v="G. Información"/>
    <s v="Si"/>
    <n v="40"/>
    <s v="131-32"/>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r>
  <r>
    <x v="0"/>
    <x v="6"/>
    <s v="G. Información"/>
    <s v="Si"/>
    <n v="35"/>
    <s v="131-33"/>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r>
  <r>
    <x v="0"/>
    <x v="6"/>
    <s v="G. Información"/>
    <s v="Si"/>
    <n v="35"/>
    <s v="131-34"/>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r>
  <r>
    <x v="0"/>
    <x v="6"/>
    <s v="G. Información"/>
    <s v="Si"/>
    <n v="35"/>
    <s v="131-35"/>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7"/>
    <m/>
    <m/>
    <m/>
    <m/>
    <m/>
    <m/>
    <m/>
    <m/>
    <m/>
    <m/>
    <m/>
    <m/>
    <m/>
    <m/>
    <m/>
    <m/>
    <m/>
    <m/>
    <n v="2933333"/>
  </r>
  <r>
    <x v="0"/>
    <x v="6"/>
    <s v="G. Información"/>
    <s v="Si"/>
    <n v="47"/>
    <s v="131-36"/>
    <s v="3 - Implementar una adecuada estrategia de comunicación y divulgación de la información del sector minero energético."/>
    <s v="1 - SERVICIO DE INFORMACIÓN IMPLEMENTADO PARA LA ACCESIBILIDAD SECTORIAL"/>
    <s v="Desarrollo"/>
    <n v="43233600"/>
    <s v="C-2106-1900-14-53105B-2106034-02"/>
    <s v="Software-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60000000"/>
    <n v="60000000"/>
    <s v="No"/>
    <s v="N/A"/>
    <s v="Johanna Stella Castellanos"/>
    <s v="Subdirectora de Gestión de la Información"/>
    <n v="6012220601"/>
    <s v="johanna.castellanos@upme.gov.co"/>
    <m/>
    <m/>
    <m/>
    <m/>
    <m/>
    <m/>
    <m/>
    <m/>
    <m/>
    <m/>
    <m/>
    <m/>
    <m/>
    <m/>
    <m/>
    <m/>
    <m/>
    <m/>
    <n v="52000000"/>
    <m/>
    <m/>
    <n v="52000000"/>
    <m/>
    <m/>
  </r>
  <r>
    <x v="0"/>
    <x v="6"/>
    <s v="G. Información"/>
    <s v="Si"/>
    <n v="4"/>
    <s v="131-37"/>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n v="11111548"/>
    <m/>
    <n v="9728192"/>
    <m/>
    <m/>
  </r>
  <r>
    <x v="0"/>
    <x v="6"/>
    <s v="G. Información"/>
    <s v="Si"/>
    <n v="24"/>
    <s v="131-38"/>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r>
  <r>
    <x v="0"/>
    <x v="6"/>
    <s v="G. Información"/>
    <s v="Si"/>
    <n v="6"/>
    <s v="131-39"/>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6.67"/>
  </r>
  <r>
    <x v="0"/>
    <x v="6"/>
    <s v="G. Información"/>
    <s v="Si"/>
    <n v="24"/>
    <s v="131-40"/>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r>
  <r>
    <x v="0"/>
    <x v="6"/>
    <s v="G. Información"/>
    <s v="Si"/>
    <n v="24"/>
    <s v="131-41"/>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r>
  <r>
    <x v="0"/>
    <x v="6"/>
    <s v="G. Información"/>
    <s v="Si"/>
    <n v="24"/>
    <s v="131-42"/>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8145355"/>
    <n v="28145355"/>
    <s v="No"/>
    <s v="N/A"/>
    <s v="Johanna Stella Castellanos"/>
    <s v="Subdirectora de Gestión de la Información"/>
    <n v="6012220601"/>
    <s v="johanna.castellanos@upme.gov.co"/>
    <m/>
    <m/>
    <m/>
    <m/>
    <m/>
    <m/>
    <n v="28145355"/>
    <m/>
    <m/>
    <m/>
    <n v="-876120"/>
    <n v="4271085"/>
    <m/>
    <n v="3285450"/>
    <m/>
    <n v="3285450"/>
    <m/>
    <n v="3285450"/>
    <m/>
    <n v="3285450"/>
    <m/>
    <n v="3285450"/>
    <m/>
    <n v="6570900"/>
  </r>
  <r>
    <x v="0"/>
    <x v="6"/>
    <s v="G. Información"/>
    <s v="Si"/>
    <n v="35"/>
    <s v="131-43"/>
    <s v="3 - Implementar una adecuada estrategia de comunicación y divulgación de la información del sector minero energético."/>
    <s v="2 - SERVICIO DE DIVULGACIÓN DEL SECTOR MINERO ENERGÉTICO"/>
    <s v="Realizar la recolección y procesamiento de la información"/>
    <n v="78111502"/>
    <s v="C-2106-1900-14-53105B-2106019-02"/>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1000000"/>
    <n v="21000000"/>
    <s v="No"/>
    <s v="N/A"/>
    <s v="Johanna Stella Castellanos"/>
    <s v="Subdirectora de Gestión de la Información"/>
    <n v="6012220601"/>
    <s v="johanna.castellanos@upme.gov.co"/>
    <m/>
    <m/>
    <m/>
    <m/>
    <m/>
    <m/>
    <m/>
    <m/>
    <m/>
    <m/>
    <n v="20000000"/>
    <m/>
    <m/>
    <m/>
    <m/>
    <n v="3310452"/>
    <m/>
    <n v="3769762"/>
    <m/>
    <m/>
    <m/>
    <m/>
    <m/>
    <n v="12919786"/>
  </r>
  <r>
    <x v="0"/>
    <x v="6"/>
    <s v="G. Información"/>
    <s v="Si"/>
    <n v="13"/>
    <s v="131-44"/>
    <s v="3 - Implementar una adecuada estrategia de comunicación y divulgación de la información del sector minero energético."/>
    <s v="2 - SERVICIO DE DIVULGACIÓN DEL SECTOR MINERO ENERGÉTICO"/>
    <s v="Realizar la recolección y procesamiento de la información"/>
    <n v="80141607"/>
    <s v="C-2106-1900-14-53105B-2106019-02"/>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r>
  <r>
    <x v="0"/>
    <x v="6"/>
    <s v="G. Información"/>
    <s v="Si"/>
    <n v="35"/>
    <s v="131-45"/>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r>
  <r>
    <x v="0"/>
    <x v="6"/>
    <s v="G. Información"/>
    <s v="Si"/>
    <n v="6"/>
    <s v="131-46"/>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r>
  <r>
    <x v="0"/>
    <x v="6"/>
    <s v="G. Información"/>
    <s v="Si"/>
    <s v="75 (30/12/2024)"/>
    <s v="131-47"/>
    <s v="3 - Implementar una adecuada estrategia de comunicación y divulgación de la información del sector minero energético."/>
    <s v="2 - SERVICIO DE DIVULGACIÓN DEL SECTOR MINERO ENERGÉTICO"/>
    <s v="Desarrollar el proceso de divulgación"/>
    <s v="N/A"/>
    <s v="C-2106-1900-14-53105B-2106019-02"/>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m/>
    <m/>
    <n v="4775582"/>
    <n v="4775582"/>
  </r>
  <r>
    <x v="0"/>
    <x v="6"/>
    <s v="G. Información"/>
    <s v="Si"/>
    <n v="35"/>
    <s v="131-48"/>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r>
  <r>
    <x v="0"/>
    <x v="6"/>
    <s v="G. Información"/>
    <s v="Si"/>
    <n v="6"/>
    <s v="131-49"/>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1419000"/>
    <n v="41419000"/>
    <s v="No"/>
    <s v="N/A"/>
    <s v="Johanna Stella Castellanos"/>
    <s v="Subdirectora de Gestión de la Información"/>
    <n v="6012220601"/>
    <s v="johanna.castellanos@upme.gov.co"/>
    <m/>
    <m/>
    <n v="41419000"/>
    <m/>
    <m/>
    <n v="2961000"/>
    <n v="-658000"/>
    <n v="3696445"/>
    <m/>
    <n v="3290000"/>
    <m/>
    <n v="3900742"/>
    <m/>
    <n v="3290000"/>
    <m/>
    <n v="3290000"/>
    <m/>
    <n v="3290000"/>
    <m/>
    <n v="3290000"/>
    <m/>
    <n v="3290000"/>
    <m/>
    <n v="10462813"/>
  </r>
  <r>
    <x v="0"/>
    <x v="6"/>
    <s v="G. Información"/>
    <s v="Si"/>
    <n v="35"/>
    <s v="131-50"/>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6920000"/>
    <n v="6920000"/>
    <s v="No"/>
    <s v="N/A"/>
    <s v="Johanna Stella Castellanos"/>
    <s v="Subdirectora de Gestión de la Información"/>
    <n v="6012220601"/>
    <s v="johanna.castellanos@upme.gov.co"/>
    <m/>
    <m/>
    <m/>
    <m/>
    <m/>
    <m/>
    <m/>
    <m/>
    <m/>
    <m/>
    <m/>
    <m/>
    <m/>
    <m/>
    <m/>
    <m/>
    <n v="4839215"/>
    <m/>
    <m/>
    <m/>
    <m/>
    <n v="3285450"/>
    <m/>
    <n v="1553765"/>
  </r>
  <r>
    <x v="0"/>
    <x v="6"/>
    <s v="G. Información"/>
    <s v="Si"/>
    <n v="35"/>
    <s v="131-51"/>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r>
  <r>
    <x v="0"/>
    <x v="6"/>
    <s v="G. Información"/>
    <s v="Si"/>
    <n v="47"/>
    <s v="131-52"/>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Octubre"/>
    <n v="3"/>
    <s v="Meses"/>
    <s v="Contratación directa"/>
    <s v="Propios - 21 - Otros recursos de tesorería"/>
    <n v="30000000"/>
    <n v="30000000"/>
    <s v="No"/>
    <s v="N/A"/>
    <s v="Johanna Stella Castellanos"/>
    <s v="Subdirectora de Gestión de la Información"/>
    <n v="6012220601"/>
    <s v="johanna.castellanos@upme.gov.co"/>
    <m/>
    <m/>
    <m/>
    <m/>
    <m/>
    <m/>
    <m/>
    <m/>
    <m/>
    <m/>
    <m/>
    <m/>
    <m/>
    <m/>
    <m/>
    <m/>
    <m/>
    <m/>
    <n v="18933333"/>
    <m/>
    <m/>
    <n v="2933333"/>
    <m/>
    <n v="16000000"/>
  </r>
  <r>
    <x v="0"/>
    <x v="6"/>
    <s v="G. Información"/>
    <s v="Si"/>
    <n v="35"/>
    <s v="131-53"/>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r>
  <r>
    <x v="0"/>
    <x v="6"/>
    <s v="G. Información"/>
    <s v="Si"/>
    <n v="16"/>
    <s v="131-54"/>
    <s v="3 - Implementar una adecuada estrategia de comunicación y divulgación de la información del sector minero energético."/>
    <s v="1 - SERVICIO DE INFORMACIÓN IMPLEMENTADO PARA LA ACCESIBILIDAD SECTORIAL"/>
    <s v="Pruebas y aseguramiento de calidad"/>
    <n v="43233501"/>
    <s v="C-2106-1900-14-53105B-2106034-02"/>
    <s v="Software-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r>
  <r>
    <x v="0"/>
    <x v="6"/>
    <s v="G. Información"/>
    <s v="Si"/>
    <n v="35"/>
    <s v="131-55"/>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4533333"/>
    <n v="4533333"/>
    <s v="No"/>
    <s v="N/A"/>
    <s v="Johanna Stella Castellanos"/>
    <s v="Subdirectora de Gestión de la Información"/>
    <n v="6012220601"/>
    <s v="johanna.castellanos@upme.gov.co"/>
    <m/>
    <m/>
    <m/>
    <m/>
    <m/>
    <m/>
    <m/>
    <m/>
    <m/>
    <m/>
    <m/>
    <m/>
    <n v="4533333"/>
    <m/>
    <m/>
    <m/>
    <n v="-2166667"/>
    <n v="333333"/>
    <m/>
    <m/>
    <m/>
    <m/>
    <m/>
    <n v="2033333"/>
  </r>
  <r>
    <x v="0"/>
    <x v="6"/>
    <s v="G. Información"/>
    <s v="Si"/>
    <n v="35"/>
    <s v="131-56"/>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n v="4590600"/>
    <m/>
    <n v="4590600"/>
    <m/>
    <n v="1180460"/>
  </r>
  <r>
    <x v="0"/>
    <x v="6"/>
    <s v="G. Información"/>
    <s v="Si"/>
    <n v="35"/>
    <s v="131-57"/>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m/>
    <m/>
    <m/>
    <m/>
    <n v="5000000"/>
  </r>
  <r>
    <x v="0"/>
    <x v="6"/>
    <s v="G. Información"/>
    <s v="Si"/>
    <n v="35"/>
    <s v="131-58"/>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m/>
    <m/>
    <m/>
    <m/>
    <m/>
    <m/>
    <m/>
    <m/>
    <m/>
    <m/>
    <m/>
    <m/>
    <m/>
    <m/>
    <n v="1035169"/>
    <m/>
    <m/>
    <m/>
    <n v="-918120"/>
    <m/>
    <m/>
    <m/>
    <m/>
    <n v="2883691"/>
  </r>
  <r>
    <x v="0"/>
    <x v="6"/>
    <s v="G. Información"/>
    <s v="Si"/>
    <n v="35"/>
    <s v="131-59"/>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6048351"/>
    <n v="6048351"/>
    <s v="No"/>
    <s v="N/A"/>
    <s v="Johanna Stella Castellanos"/>
    <s v="Subdirectora de Gestión de la Información"/>
    <n v="6012220601"/>
    <s v="johanna.castellanos@upme.gov.co"/>
    <m/>
    <m/>
    <m/>
    <m/>
    <m/>
    <m/>
    <m/>
    <m/>
    <m/>
    <m/>
    <m/>
    <m/>
    <m/>
    <m/>
    <n v="2883691"/>
    <m/>
    <m/>
    <m/>
    <m/>
    <m/>
    <m/>
    <m/>
    <m/>
    <n v="117049"/>
  </r>
  <r>
    <x v="0"/>
    <x v="6"/>
    <s v="G. Información"/>
    <s v="Si"/>
    <n v="35"/>
    <s v="131-60"/>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n v="766605"/>
    <m/>
    <m/>
    <m/>
    <n v="3833395"/>
  </r>
  <r>
    <x v="0"/>
    <x v="6"/>
    <s v="G. Información"/>
    <s v="Si"/>
    <n v="35"/>
    <s v="131-61"/>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4907250"/>
    <n v="4907250"/>
    <s v="No"/>
    <s v="N/A"/>
    <s v="Johanna Stella Castellanos"/>
    <s v="Subdirectora de Gestión de la Información"/>
    <n v="6012220601"/>
    <s v="johanna.castellanos@upme.gov.co"/>
    <m/>
    <m/>
    <m/>
    <m/>
    <m/>
    <m/>
    <m/>
    <m/>
    <m/>
    <m/>
    <m/>
    <m/>
    <m/>
    <m/>
    <m/>
    <m/>
    <n v="1183740"/>
    <m/>
    <m/>
    <m/>
    <m/>
    <m/>
    <m/>
    <n v="1183740"/>
  </r>
  <r>
    <x v="0"/>
    <x v="6"/>
    <s v="G. Información"/>
    <s v="Si"/>
    <n v="40"/>
    <s v="131-62"/>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6600000"/>
    <n v="26600000"/>
    <s v="No"/>
    <s v="N/A"/>
    <s v="Johanna Stella Castellanos"/>
    <s v="Subdirectora de Gestión de la Información"/>
    <n v="6012220601"/>
    <s v="johanna.castellanos@upme.gov.co"/>
    <m/>
    <m/>
    <m/>
    <m/>
    <m/>
    <m/>
    <m/>
    <m/>
    <m/>
    <m/>
    <m/>
    <m/>
    <m/>
    <m/>
    <m/>
    <m/>
    <n v="23616667"/>
    <m/>
    <m/>
    <n v="6650000"/>
    <m/>
    <n v="6650000"/>
    <m/>
    <n v="13300000"/>
  </r>
  <r>
    <x v="0"/>
    <x v="6"/>
    <s v="G. Información"/>
    <s v="Si"/>
    <n v="44"/>
    <s v="131-63"/>
    <s v="2 - Mejorar la calidad de la información producida por el sector minero energético."/>
    <s v="1 - SERVICIO DE INFORMACIÓN ACTUALIZADO PARA EL ANÁLISIS Y TOMA DE DECISIONES ESTRATÉGICAS DEL SECTOR"/>
    <s v="Diseño técnico y funcional"/>
    <n v="80111620"/>
    <s v="C-2106-1900-14-53105B-2106033-02"/>
    <s v="Prestación de servicios profesionales y/o de apoyo a la gestión"/>
    <s v="131-63 Prestación de servicios de apoyo a la gestión para el desarrollo e implementación de geoprocesos institucionales y fortalecimiento del Geoportal Sectorial"/>
    <s v="Septiembre"/>
    <s v="Septiembre"/>
    <s v="Octubre"/>
    <n v="3"/>
    <s v="Meses"/>
    <s v="Contratación directa - Prestación de servicios profesionales"/>
    <s v="Propios - 20 - Ingresos corrientes"/>
    <n v="7020000"/>
    <n v="7020000"/>
    <s v="No"/>
    <s v="N/A"/>
    <s v="Johanna Stella Castellanos"/>
    <s v="Subdirectora de Gestión de la Información"/>
    <n v="6012220601"/>
    <s v="johanna.castellanos@upme.gov.co"/>
    <m/>
    <m/>
    <m/>
    <m/>
    <m/>
    <m/>
    <m/>
    <m/>
    <m/>
    <m/>
    <m/>
    <m/>
    <m/>
    <m/>
    <m/>
    <m/>
    <m/>
    <m/>
    <n v="7020000"/>
    <m/>
    <m/>
    <n v="2340000"/>
    <m/>
    <n v="4680000"/>
  </r>
  <r>
    <x v="0"/>
    <x v="7"/>
    <s v="Hidrocarburos"/>
    <s v="Si"/>
    <n v="47"/>
    <s v="170-1"/>
    <s v="1 - Fortalecer la planificación de la oferta de hidrocarburos."/>
    <s v="1 - DOCUMENTOS DE PLANEACIÓN ESTRATÉGICA DEL SECTOR DE HIDROCARBUROS"/>
    <s v="Documento de planeación preliminar"/>
    <n v="93151509"/>
    <s v="C-2103-1900-2-40301B-2103026-02"/>
    <s v="Software - Suscripciones"/>
    <s v="170-1 Realizar la renovación de la suscripción online de S&amp;P Global Commodity Insights."/>
    <s v="Septiembre"/>
    <s v="Septiembre"/>
    <s v="Noviembre"/>
    <n v="12"/>
    <s v="Meses"/>
    <s v="Contratación directa  - único oferente"/>
    <s v="Propios - 20 - Ingresos corrientes"/>
    <n v="241744916"/>
    <n v="241744916"/>
    <s v="No"/>
    <s v="N/A"/>
    <s v="Mauricio Andres Palma Orozco"/>
    <s v="Subdirector de hidrocarburos"/>
    <n v="6012220601"/>
    <s v="mauricio.palma@upme.gov.co"/>
    <m/>
    <m/>
    <m/>
    <m/>
    <m/>
    <m/>
    <m/>
    <m/>
    <m/>
    <m/>
    <m/>
    <m/>
    <m/>
    <m/>
    <m/>
    <m/>
    <m/>
    <m/>
    <m/>
    <m/>
    <n v="241744916"/>
    <m/>
    <m/>
    <n v="241744916"/>
  </r>
  <r>
    <x v="0"/>
    <x v="7"/>
    <s v="Hidrocarburos"/>
    <s v="Si"/>
    <s v="75 (30/12/2024)"/>
    <s v="170-2"/>
    <s v="1 - Fortalecer la planificación de la oferta de hidrocarburos."/>
    <s v="1 - DOCUMENTOS DE PLANEACIÓN ESTRATÉGICA DEL SECTOR DE HIDROCARBUROS"/>
    <s v="Documento de planeación preliminar"/>
    <n v="93151509"/>
    <s v="C-2103-1900-2-40301B-2103026-02"/>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r>
  <r>
    <x v="0"/>
    <x v="7"/>
    <s v="Hidrocarburos"/>
    <s v="Si"/>
    <n v="39"/>
    <s v="170-3"/>
    <s v="1 - Fortalecer la planificación de la oferta de hidrocarburos."/>
    <s v="1 - DOCUMENTOS DE PLANEACIÓN ESTRATÉGICA DEL SECTOR DE HIDROCARBUROS"/>
    <s v="Documento de planeación preliminar"/>
    <n v="93151509"/>
    <s v="C-2103-1900-2-40301B-2103026-02"/>
    <s v="Software - Suscripciones"/>
    <s v="170-3 Realizar la adquisición de licencia PipelineStudio™ Software"/>
    <s v="Septiembre"/>
    <s v="Septiembre"/>
    <s v="Octubre"/>
    <n v="12"/>
    <s v="Meses"/>
    <s v="Contratación directa  - único oferente"/>
    <s v="Propios - 20 - Ingresos corrientes"/>
    <n v="269448992"/>
    <n v="269448992"/>
    <s v="No"/>
    <s v="N/A"/>
    <s v="Mauricio Andres Palma Orozco"/>
    <s v="Subdirector de hidrocarburos"/>
    <n v="6012220601"/>
    <s v="mauricio.palma@upme.gov.co"/>
    <m/>
    <m/>
    <m/>
    <m/>
    <m/>
    <m/>
    <m/>
    <m/>
    <m/>
    <m/>
    <m/>
    <m/>
    <m/>
    <m/>
    <m/>
    <m/>
    <m/>
    <m/>
    <m/>
    <m/>
    <n v="269448992"/>
    <m/>
    <m/>
    <n v="269448992"/>
  </r>
  <r>
    <x v="0"/>
    <x v="7"/>
    <s v="Hidrocarburos"/>
    <s v="Si"/>
    <n v="27"/>
    <s v="170-4"/>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r>
  <r>
    <x v="0"/>
    <x v="7"/>
    <s v="Hidrocarburos"/>
    <s v="Si"/>
    <s v="75 (30/12/2024)"/>
    <s v="170-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999100"/>
    <n v="115999100"/>
    <s v="No"/>
    <s v="N/A"/>
    <s v="Mauricio Andres Palma Orozco"/>
    <s v="Subdirector de hidrocarburos"/>
    <n v="6012220601"/>
    <s v="mauricio.palma@upme.gov.co"/>
    <n v="115999100"/>
    <m/>
    <m/>
    <m/>
    <m/>
    <n v="10418100"/>
    <m/>
    <n v="10418100"/>
    <m/>
    <n v="10418100"/>
    <m/>
    <n v="10772767"/>
    <m/>
    <n v="10418100"/>
    <m/>
    <n v="10418100"/>
    <m/>
    <n v="10418100"/>
    <m/>
    <n v="10728779"/>
    <m/>
    <n v="10418100"/>
    <m/>
    <n v="20836200"/>
  </r>
  <r>
    <x v="0"/>
    <x v="7"/>
    <s v="Hidrocarburos"/>
    <s v="Si"/>
    <n v="26"/>
    <s v="170-6"/>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r>
  <r>
    <x v="0"/>
    <x v="7"/>
    <s v="Hidrocarburos"/>
    <s v="Si"/>
    <n v="46"/>
    <s v="170-7"/>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683174"/>
    <n v="115683174"/>
    <s v="No"/>
    <s v="N/A"/>
    <s v="Mauricio Andres Palma Orozco"/>
    <s v="Subdirector de hidrocarburos"/>
    <n v="6012220601"/>
    <s v="mauricio.palma@upme.gov.co"/>
    <n v="115599100"/>
    <m/>
    <m/>
    <m/>
    <m/>
    <n v="10418100"/>
    <m/>
    <n v="10418100"/>
    <m/>
    <n v="10960137"/>
    <m/>
    <n v="10418100"/>
    <m/>
    <n v="10418100"/>
    <m/>
    <n v="10418100"/>
    <m/>
    <n v="10418100"/>
    <n v="84074"/>
    <n v="10418100"/>
    <m/>
    <n v="10960137"/>
    <m/>
    <n v="20836200"/>
  </r>
  <r>
    <x v="0"/>
    <x v="7"/>
    <s v="Hidrocarburos"/>
    <s v="Si"/>
    <n v="26"/>
    <s v="170-8"/>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r>
  <r>
    <x v="0"/>
    <x v="7"/>
    <s v="Hidrocarburos"/>
    <s v="Si"/>
    <n v="26"/>
    <s v="170-9"/>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r>
  <r>
    <x v="0"/>
    <x v="7"/>
    <s v="Hidrocarburos"/>
    <s v="Si"/>
    <n v="26"/>
    <s v="170-10"/>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r>
  <r>
    <x v="0"/>
    <x v="7"/>
    <s v="Hidrocarburos"/>
    <s v="Si"/>
    <s v="75 (30/12/2024)"/>
    <s v="170-11"/>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m/>
    <m/>
    <m/>
    <m/>
    <n v="1259026"/>
  </r>
  <r>
    <x v="0"/>
    <x v="7"/>
    <s v="Hidrocarburos"/>
    <s v="Si"/>
    <s v="75 (30/12/2024)"/>
    <s v="170-12"/>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m/>
    <m/>
    <m/>
    <m/>
    <n v="6214961"/>
  </r>
  <r>
    <x v="0"/>
    <x v="7"/>
    <s v="Hidrocarburos"/>
    <s v="Si"/>
    <n v="26"/>
    <s v="170-13"/>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4915480"/>
    <n v="114915480"/>
    <s v="No"/>
    <s v="N/A"/>
    <s v="Mauricio Andres Palma Orozco"/>
    <s v="Subdirector de hidrocarburos"/>
    <n v="6012220601"/>
    <s v="mauricio.palma@upme.gov.co"/>
    <m/>
    <m/>
    <n v="115999100"/>
    <m/>
    <m/>
    <n v="8334480"/>
    <n v="-2083620"/>
    <n v="10418100"/>
    <m/>
    <n v="10418100"/>
    <m/>
    <n v="10418100"/>
    <n v="1000000"/>
    <n v="10418100"/>
    <m/>
    <n v="10960137"/>
    <m/>
    <n v="10418100"/>
    <m/>
    <n v="10418100"/>
    <m/>
    <n v="10418100"/>
    <m/>
    <n v="20836200"/>
  </r>
  <r>
    <x v="0"/>
    <x v="7"/>
    <s v="Hidrocarburos"/>
    <s v="Si"/>
    <s v="75 (30/12/2024)"/>
    <s v="170-14"/>
    <s v="1 - Fortalecer la planificación de la oferta de hidrocarburos."/>
    <s v="1 - DOCUMENTOS DE PLANEACIÓN ESTRATÉGICA DEL SECTOR DE HIDROCARBUROS"/>
    <s v="Documento de planeación preliminar"/>
    <s v="N/A"/>
    <s v="C-2103-1900-2-40301B-2103026-02"/>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5000000"/>
    <n v="35000000"/>
    <s v="No"/>
    <s v="N/A"/>
    <s v="Mauricio Andres Palma Orozco"/>
    <s v="Subdirector de hidrocarburos"/>
    <n v="6012220601"/>
    <s v="mauricio.palma@upme.gov.co"/>
    <m/>
    <m/>
    <m/>
    <m/>
    <n v="2158125"/>
    <n v="2158125"/>
    <n v="3571557"/>
    <n v="3571557"/>
    <n v="4724297"/>
    <n v="2661633"/>
    <n v="1037712"/>
    <n v="3100376"/>
    <n v="3462505"/>
    <n v="3462505"/>
    <m/>
    <m/>
    <n v="2559450"/>
    <n v="2286184"/>
    <n v="1300000"/>
    <n v="1300000"/>
    <n v="3900000"/>
    <n v="3900000"/>
    <n v="12286354"/>
    <n v="12559620"/>
  </r>
  <r>
    <x v="0"/>
    <x v="7"/>
    <s v="Hidrocarburos"/>
    <s v="Si"/>
    <s v="75 (30/12/2024)"/>
    <s v="170-1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n v="700000"/>
    <m/>
    <n v="700000"/>
    <m/>
    <n v="700000"/>
    <m/>
    <n v="1400000"/>
  </r>
  <r>
    <x v="0"/>
    <x v="7"/>
    <s v="Hidrocarburos"/>
    <s v="Si"/>
    <n v="4"/>
    <s v="170-16"/>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r>
  <r>
    <x v="0"/>
    <x v="7"/>
    <s v="Hidrocarburos"/>
    <s v="Si"/>
    <s v="75 (30/12/2024)"/>
    <s v="170-17"/>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75000000"/>
    <n v="75000000"/>
    <s v="No"/>
    <s v="N/A"/>
    <s v="Mauricio Andres Palma Orozco"/>
    <s v="Subdirector de hidrocarburos"/>
    <n v="6012220601"/>
    <s v="mauricio.palma@upme.gov.co"/>
    <m/>
    <m/>
    <n v="75000000"/>
    <m/>
    <m/>
    <n v="6500000"/>
    <m/>
    <n v="7500000"/>
    <m/>
    <n v="7500000"/>
    <m/>
    <n v="7500000"/>
    <m/>
    <n v="7500000"/>
    <m/>
    <n v="7500000"/>
    <m/>
    <n v="7500000"/>
    <m/>
    <n v="7500000"/>
    <m/>
    <n v="7500000"/>
    <m/>
    <n v="8500000"/>
  </r>
  <r>
    <x v="0"/>
    <x v="7"/>
    <s v="Hidrocarburos"/>
    <s v="Si"/>
    <n v="37"/>
    <s v="170-18"/>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r>
  <r>
    <x v="0"/>
    <x v="7"/>
    <s v="Hidrocarburos"/>
    <s v="Si"/>
    <n v="26"/>
    <s v="170-19"/>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m/>
    <n v="21436200"/>
  </r>
  <r>
    <x v="0"/>
    <x v="7"/>
    <s v="Hidrocarburos"/>
    <s v="Si"/>
    <n v="29"/>
    <s v="170-20"/>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r>
  <r>
    <x v="0"/>
    <x v="7"/>
    <s v="Hidrocarburos"/>
    <s v="Si"/>
    <n v="29"/>
    <s v="170-21"/>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r>
  <r>
    <x v="0"/>
    <x v="7"/>
    <s v="Hidrocarburos"/>
    <s v="Si"/>
    <n v="26"/>
    <s v="170-2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r>
  <r>
    <x v="0"/>
    <x v="7"/>
    <s v="Hidrocarburos"/>
    <s v="Si"/>
    <n v="26"/>
    <s v="170-23"/>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m/>
    <n v="21436200"/>
  </r>
  <r>
    <x v="0"/>
    <x v="7"/>
    <s v="Hidrocarburos"/>
    <s v="Si"/>
    <n v="39"/>
    <s v="170-24"/>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r>
  <r>
    <x v="0"/>
    <x v="7"/>
    <s v="Hidrocarburos"/>
    <s v="Si"/>
    <n v="44"/>
    <s v="170-25"/>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78111502"/>
    <s v="C-2103-1900-2-40301B-2103025-02"/>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4200000"/>
    <m/>
    <n v="13579468"/>
  </r>
  <r>
    <x v="0"/>
    <x v="7"/>
    <s v="Hidrocarburos"/>
    <s v="Si"/>
    <n v="26"/>
    <s v="170-26"/>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r>
  <r>
    <x v="0"/>
    <x v="7"/>
    <s v="Hidrocarburos"/>
    <s v="Si"/>
    <n v="44"/>
    <s v="170-27"/>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r>
  <r>
    <x v="0"/>
    <x v="7"/>
    <s v="Hidrocarburos"/>
    <s v="Si"/>
    <n v="47"/>
    <s v="170-28"/>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43233600"/>
    <s v="C-2103-1900-2-40301B-2103025-02"/>
    <s v="Software- Licencias"/>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Contratación directa-unico oferente"/>
    <s v="Propios - 20 - Ingresos corrientes"/>
    <n v="32460948"/>
    <n v="32460948"/>
    <s v="No"/>
    <s v="N/A"/>
    <s v="Cesar Augusto Pineda "/>
    <s v="Subdirector de hidrocarburos (E)"/>
    <n v="6012220601"/>
    <s v="cesar.pineda@upme.gov.co"/>
    <m/>
    <m/>
    <m/>
    <m/>
    <m/>
    <m/>
    <m/>
    <m/>
    <m/>
    <m/>
    <m/>
    <m/>
    <m/>
    <m/>
    <m/>
    <m/>
    <m/>
    <m/>
    <n v="32460948"/>
    <m/>
    <m/>
    <n v="32460948"/>
    <m/>
    <m/>
  </r>
  <r>
    <x v="0"/>
    <x v="7"/>
    <s v="Hidrocarburos"/>
    <s v="Si"/>
    <n v="44"/>
    <s v="170-29"/>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r>
  <r>
    <x v="0"/>
    <x v="7"/>
    <s v="Hidrocarburos"/>
    <s v="Si"/>
    <n v="37"/>
    <s v="170-30"/>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n v="7900000"/>
    <m/>
    <n v="6500000"/>
    <m/>
    <n v="6500000"/>
  </r>
  <r>
    <x v="0"/>
    <x v="7"/>
    <s v="Hidrocarburos"/>
    <s v="Si"/>
    <n v="30"/>
    <s v="170-31"/>
    <s v="2 - Reducir limitaciones que afecten la expansión de infraestructura de suministro de hidrocarburos en el tiempo."/>
    <s v="1 - DOCUMENTOS DE LINEAMIENTOS TÉCNICOS - PARA EL DESARROLLO DEL SECTOR DE HIDROCARBUROS"/>
    <s v="Documento con la descripción de procesos, métodos y herramientas"/>
    <s v="43233501"/>
    <s v="C-2103-1900-2-40301B-2103025-02"/>
    <s v="Software-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r>
  <r>
    <x v="0"/>
    <x v="7"/>
    <s v="Hidrocarburos"/>
    <s v="Si"/>
    <n v="44"/>
    <s v="170-3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43408750"/>
    <n v="43408750"/>
    <s v="No"/>
    <s v="N/A"/>
    <s v="Ingrid Fernanda Vasquez"/>
    <s v="Subdirector de hidrocarburos"/>
    <n v="6012220601"/>
    <s v="ingrid.vasquez@upme.gov.co"/>
    <m/>
    <m/>
    <m/>
    <m/>
    <m/>
    <m/>
    <m/>
    <m/>
    <m/>
    <m/>
    <m/>
    <m/>
    <m/>
    <m/>
    <m/>
    <m/>
    <n v="43408750"/>
    <m/>
    <m/>
    <n v="5556320"/>
    <m/>
    <n v="10418100"/>
    <m/>
    <n v="20836200"/>
  </r>
  <r>
    <x v="0"/>
    <x v="7"/>
    <s v="Hidrocarburos"/>
    <s v="Si"/>
    <n v="44"/>
    <s v="170-33"/>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44166150"/>
    <n v="44166150"/>
    <s v="No"/>
    <s v="N/A"/>
    <s v="Ingrid Fernanda Vasquez"/>
    <s v="Subdirector de hidrocarburos"/>
    <n v="6012220601"/>
    <s v="ingrid.vasquez@upme.gov.co"/>
    <m/>
    <m/>
    <m/>
    <m/>
    <m/>
    <m/>
    <m/>
    <m/>
    <m/>
    <m/>
    <m/>
    <m/>
    <m/>
    <m/>
    <m/>
    <m/>
    <m/>
    <m/>
    <n v="34912290"/>
    <m/>
    <m/>
    <n v="9674490"/>
    <m/>
    <n v="25237800"/>
  </r>
  <r>
    <x v="0"/>
    <x v="7"/>
    <s v="Hidrocarburos"/>
    <s v="Si"/>
    <n v="44"/>
    <s v="170-34"/>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6463350"/>
    <n v="36463350"/>
    <s v="No"/>
    <s v="N/A"/>
    <s v="Ingrid Fernanda Vasquez"/>
    <s v="Subdirector de hidrocarburos"/>
    <n v="6012220601"/>
    <s v="ingrid.vasquez@upme.gov.co"/>
    <m/>
    <m/>
    <m/>
    <m/>
    <m/>
    <m/>
    <m/>
    <m/>
    <m/>
    <m/>
    <m/>
    <m/>
    <m/>
    <m/>
    <m/>
    <m/>
    <n v="32990650"/>
    <m/>
    <n v="347270"/>
    <m/>
    <m/>
    <n v="10418100"/>
    <m/>
    <n v="20836200"/>
  </r>
  <r>
    <x v="0"/>
    <x v="7"/>
    <s v="Hidrocarburos"/>
    <s v="Si"/>
    <n v="44"/>
    <s v="170-3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5 Prestar servicios profesionales de apoyo a la gestión para asistir logísticamente y acompañar la consolidación de la información requerida para la elaboración de informes, reportes y documentos técnicos requeridos por la subdirección de hidrocarbur"/>
    <s v="Agosto"/>
    <s v="Agosto"/>
    <s v="Septiembre"/>
    <n v="4"/>
    <s v="Meses"/>
    <s v="Contratación directa - Prestación de servicios profesionales"/>
    <s v="Propios - 20 - Ingresos corrientes"/>
    <n v="14795550"/>
    <n v="14795550"/>
    <s v="No"/>
    <s v="N/A"/>
    <s v="Ingrid Fernanda Vasquez"/>
    <s v="Subdirector de hidrocarburos"/>
    <n v="6012220601"/>
    <s v="ingrid.vasquez@upme.gov.co"/>
    <m/>
    <m/>
    <m/>
    <m/>
    <m/>
    <m/>
    <m/>
    <m/>
    <m/>
    <m/>
    <m/>
    <m/>
    <m/>
    <m/>
    <m/>
    <m/>
    <m/>
    <m/>
    <n v="10045490"/>
    <m/>
    <m/>
    <n v="2783690"/>
    <m/>
    <n v="7261800"/>
  </r>
  <r>
    <x v="0"/>
    <x v="7"/>
    <s v="Hidrocarburos"/>
    <s v="Si"/>
    <n v="44"/>
    <s v="170-36"/>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36463350"/>
    <n v="36463350"/>
    <s v="No"/>
    <s v="N/A"/>
    <s v="Ingrid Fernanda Vasquez"/>
    <s v="Subdirector de hidrocarburos"/>
    <n v="6012220601"/>
    <s v="ingrid.vasquez@upme.gov.co"/>
    <m/>
    <m/>
    <m/>
    <m/>
    <m/>
    <m/>
    <m/>
    <m/>
    <m/>
    <m/>
    <m/>
    <m/>
    <m/>
    <m/>
    <m/>
    <m/>
    <m/>
    <m/>
    <n v="23112180"/>
    <m/>
    <m/>
    <n v="6404580"/>
    <m/>
    <n v="16707600"/>
  </r>
  <r>
    <x v="0"/>
    <x v="7"/>
    <s v="Hidrocarburos"/>
    <s v="Si"/>
    <n v="44"/>
    <s v="170-37"/>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36463350"/>
    <n v="36463350"/>
    <s v="No"/>
    <s v="N/A"/>
    <s v="Ingrid Fernanda Vasquez"/>
    <s v="Subdirector de hidrocarburos"/>
    <n v="6012220601"/>
    <s v="ingrid.vasquez@upme.gov.co"/>
    <m/>
    <m/>
    <m/>
    <m/>
    <m/>
    <m/>
    <m/>
    <m/>
    <m/>
    <m/>
    <m/>
    <m/>
    <m/>
    <m/>
    <m/>
    <m/>
    <n v="32990650"/>
    <m/>
    <m/>
    <m/>
    <m/>
    <n v="9723560"/>
    <m/>
    <n v="20836200"/>
  </r>
  <r>
    <x v="0"/>
    <x v="7"/>
    <s v="Hidrocarburos"/>
    <s v="Si"/>
    <n v="44"/>
    <s v="170-38"/>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33872475"/>
    <n v="33872475"/>
    <s v="No"/>
    <s v="N/A"/>
    <s v="Ingrid Fernanda Vasquez"/>
    <s v="Subdirector de hidrocarburos"/>
    <n v="6012220601"/>
    <s v="ingrid.vasquez@upme.gov.co"/>
    <m/>
    <m/>
    <m/>
    <m/>
    <m/>
    <m/>
    <m/>
    <m/>
    <m/>
    <m/>
    <m/>
    <m/>
    <m/>
    <m/>
    <m/>
    <m/>
    <m/>
    <m/>
    <n v="26775385"/>
    <m/>
    <m/>
    <n v="7419685"/>
    <m/>
    <n v="19355700"/>
  </r>
  <r>
    <x v="0"/>
    <x v="7"/>
    <s v="Hidrocarburos"/>
    <s v="Si"/>
    <n v="47"/>
    <s v="170-39"/>
    <s v="1 - Fortalecer la planificación de la oferta de hidrocarburos."/>
    <s v="1 - DOCUMENTOS DE PLANEACIÓN ESTRATÉGICA DEL SECTOR DE HIDROCARBUROS"/>
    <s v="Documento de planeación preliminar"/>
    <n v="43233600"/>
    <s v="C-2103-1900-2-40301B-2103026-02"/>
    <s v="Software- Licencias"/>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Contratación directa "/>
    <s v="Propios - 20 - Ingresos corrientes"/>
    <n v="7539052"/>
    <n v="7539052"/>
    <s v="No"/>
    <s v="N/A"/>
    <s v="Ingrid Fernanda Vasquez"/>
    <s v="Subdirector de hidrocarburos"/>
    <n v="6012220601"/>
    <s v="ingrid.vasquez@upme.gov.co"/>
    <m/>
    <m/>
    <m/>
    <m/>
    <m/>
    <m/>
    <m/>
    <m/>
    <m/>
    <m/>
    <m/>
    <m/>
    <m/>
    <m/>
    <m/>
    <m/>
    <m/>
    <m/>
    <n v="7539052"/>
    <m/>
    <m/>
    <n v="7539052"/>
    <m/>
    <m/>
  </r>
  <r>
    <x v="0"/>
    <x v="7"/>
    <s v="Hidrocarburos"/>
    <s v="Si"/>
    <n v="47"/>
    <s v="170-40"/>
    <s v="1 - Fortalecer la planificación de la oferta de hidrocarburos."/>
    <s v="1 - DOCUMENTOS DE PLANEACIÓN ESTRATÉGICA DEL SECTOR DE HIDROCARBUROS"/>
    <s v="Documento de planeación preliminar"/>
    <n v="43233600"/>
    <s v="C-2103-1900-2-40301B-2103026-02"/>
    <s v="Software- Licencias"/>
    <s v="170-40 Contratar el suministro de una solución tecnológica integral en la modalidad de software como servicio de gestión de proyectos para coordinar procesos la planificación, ejecución, control y seguimiento en línea de los procesos y actividades que des"/>
    <s v="Octubre"/>
    <s v="Octubre"/>
    <s v="Noviembre"/>
    <n v="12"/>
    <s v="Meses"/>
    <s v="Contratación directa "/>
    <s v="Propios - 20 - Ingresos corrientes"/>
    <n v="23079343"/>
    <n v="23079343"/>
    <s v="No"/>
    <s v="N/A"/>
    <s v="Ingrid Fernanda Vasquez"/>
    <s v="Subdirector de hidrocarburos"/>
    <n v="6012220601"/>
    <s v="ingrid.vasquez@upme.gov.co"/>
    <m/>
    <m/>
    <m/>
    <m/>
    <m/>
    <m/>
    <m/>
    <m/>
    <m/>
    <m/>
    <m/>
    <m/>
    <m/>
    <m/>
    <m/>
    <m/>
    <m/>
    <m/>
    <m/>
    <m/>
    <n v="23079343"/>
    <m/>
    <m/>
    <n v="23079343"/>
  </r>
  <r>
    <x v="0"/>
    <x v="8"/>
    <s v="Demanda"/>
    <s v="Si"/>
    <n v="40"/>
    <s v="160-1"/>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r>
  <r>
    <x v="0"/>
    <x v="8"/>
    <s v="Demanda"/>
    <s v="Si"/>
    <n v="46"/>
    <s v="160-2"/>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n v="529480"/>
    <m/>
    <m/>
    <m/>
    <m/>
  </r>
  <r>
    <x v="0"/>
    <x v="8"/>
    <s v="Demanda"/>
    <s v="Si"/>
    <s v="75 (30/12/2024)"/>
    <s v="160-3"/>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r>
  <r>
    <x v="0"/>
    <x v="8"/>
    <s v="Demanda"/>
    <s v="Si"/>
    <s v="75 (30/12/2024)"/>
    <s v="160-4"/>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r>
  <r>
    <x v="0"/>
    <x v="8"/>
    <s v="Demanda"/>
    <s v="Si"/>
    <s v="75 (30/12/2024)"/>
    <s v="160-5"/>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r>
  <r>
    <x v="0"/>
    <x v="8"/>
    <s v="Demanda"/>
    <s v="Si"/>
    <n v="13"/>
    <s v="160-6"/>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r>
  <r>
    <x v="0"/>
    <x v="8"/>
    <s v="Demanda"/>
    <s v="Si"/>
    <s v="75 (30/12/2024)"/>
    <s v="160-7"/>
    <s v="2 - Desarrollar la capacidad instalada en la planificación estratégica de la atención de la demanda."/>
    <s v="1 - DOCUMENTOS METODOLÓGICOS"/>
    <s v="Diagnóstico"/>
    <n v="80111620"/>
    <s v="C-2106-1900-13-40302B-2106005-02"/>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5347200"/>
    <n v="155347200"/>
    <s v="No"/>
    <s v="N/A"/>
    <s v="Jessica Arias Gaviria"/>
    <s v="Subdirectora de Demanda"/>
    <n v="6012220601"/>
    <s v="jessica.arias@upme.gov.co"/>
    <n v="155347200"/>
    <m/>
    <m/>
    <m/>
    <n v="-1320781"/>
    <n v="13207810"/>
    <m/>
    <n v="14019012"/>
    <m/>
    <n v="14468390"/>
    <m/>
    <n v="13442756"/>
    <m/>
    <n v="14519534"/>
    <m/>
    <n v="13207810"/>
    <m/>
    <n v="13207810"/>
    <m/>
    <n v="13207810"/>
    <m/>
    <n v="13207810"/>
    <m/>
    <n v="31537677"/>
  </r>
  <r>
    <x v="0"/>
    <x v="8"/>
    <s v="Demanda"/>
    <s v="Si"/>
    <s v="75 (30/12/2024)"/>
    <s v="160-8"/>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22460640"/>
  </r>
  <r>
    <x v="0"/>
    <x v="8"/>
    <s v="Demanda"/>
    <s v="Si"/>
    <n v="13"/>
    <s v="160-9"/>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r>
  <r>
    <x v="0"/>
    <x v="8"/>
    <s v="Demanda"/>
    <s v="Si"/>
    <n v="9"/>
    <s v="160-10"/>
    <s v="2 - Desarrollar la capacidad instalada en la planificación estratégica de la atención de la demanda."/>
    <s v="1 - DOCUMENTOS METODOLÓGICOS"/>
    <s v="Diagnóstico"/>
    <n v="93142104"/>
    <s v="C-2106-1900-13-40302B-2106005-02"/>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160000"/>
    <n v="300160000"/>
    <s v="No"/>
    <s v="N/A"/>
    <s v="Jessica Arias Gaviria"/>
    <s v="Subdirectora de Demanda"/>
    <n v="6012220601"/>
    <s v="jessica.arias@upme.gov.co"/>
    <m/>
    <m/>
    <m/>
    <m/>
    <m/>
    <m/>
    <n v="300000000"/>
    <m/>
    <m/>
    <m/>
    <m/>
    <n v="90000000"/>
    <m/>
    <m/>
    <m/>
    <m/>
    <m/>
    <n v="120000000"/>
    <m/>
    <m/>
    <m/>
    <m/>
    <m/>
    <n v="90000000"/>
  </r>
  <r>
    <x v="0"/>
    <x v="8"/>
    <s v="Demanda"/>
    <s v="Si"/>
    <n v="13"/>
    <s v="160-11"/>
    <s v="2 - Desarrollar la capacidad instalada en la planificación estratégica de la atención de la demanda."/>
    <s v="1 - DOCUMENTOS METODOLÓGICOS"/>
    <s v="Documento metodológico preliminar"/>
    <n v="93142104"/>
    <s v="C-2106-1900-13-40302B-2106005-02"/>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r>
  <r>
    <x v="0"/>
    <x v="8"/>
    <s v="Demanda"/>
    <s v="Si"/>
    <n v="21"/>
    <s v="160-12"/>
    <s v="3 - Fomentar la articulación de la política pública, el marco regulatorio y la visión de gobierno."/>
    <s v="1 - DOCUMENTOS DE LINEAMIENTOS TÉCNICOS"/>
    <s v="Documento con la descripción de procesos, métodos y herramientas"/>
    <n v="81101516"/>
    <s v="C-2106-1900-13-40302B-2106010-02"/>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n v="225120000"/>
    <m/>
    <n v="225120000"/>
    <m/>
    <m/>
  </r>
  <r>
    <x v="0"/>
    <x v="8"/>
    <s v="Demanda"/>
    <s v="Si"/>
    <n v="21"/>
    <s v="160-13"/>
    <s v="3 - Fomentar la articulación de la política pública, el marco regulatorio y la visión de gobierno."/>
    <s v="1 - DOCUMENTOS DE LINEAMIENTOS TÉCNICOS"/>
    <s v="Documento con la descripción de procesos, métodos y herramientas"/>
    <n v="81101516"/>
    <s v="C-2106-1900-13-40302B-2106010-02"/>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300160000"/>
    <n v="300160000"/>
    <s v="No"/>
    <s v="N/A"/>
    <s v="Jessica Arias Gaviria"/>
    <s v="Subdirectora de Demanda"/>
    <n v="6012220601"/>
    <s v="jessica.arias@upme.gov.co"/>
    <m/>
    <m/>
    <m/>
    <m/>
    <m/>
    <m/>
    <m/>
    <m/>
    <m/>
    <m/>
    <m/>
    <m/>
    <m/>
    <m/>
    <m/>
    <m/>
    <m/>
    <m/>
    <n v="300160000"/>
    <m/>
    <m/>
    <n v="75040000"/>
    <m/>
    <n v="225120000"/>
  </r>
  <r>
    <x v="0"/>
    <x v="8"/>
    <s v="Demanda"/>
    <s v="Si"/>
    <n v="40"/>
    <s v="160-14"/>
    <s v="1 - Mejorar la representatividad en la información de la participación de los sectores económicos en el consumo de energía."/>
    <s v="1 - DOCUMENTOS DE PLANEACIÓN"/>
    <s v="Documento de planeación preliminar"/>
    <s v="81101516;83101601"/>
    <s v="C-2106-1900-13-40302B-2106003-02"/>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n v="840000000"/>
    <m/>
    <m/>
    <m/>
    <n v="350820000"/>
  </r>
  <r>
    <x v="0"/>
    <x v="8"/>
    <s v="Demanda"/>
    <s v="Si"/>
    <n v="22"/>
    <s v="160-15"/>
    <s v="1 - Mejorar la representatividad en la información de la participación de los sectores económicos en el consumo de energía."/>
    <s v="1 - DOCUMENTOS DE PLANEACIÓN"/>
    <s v="Documento de planeación preliminar"/>
    <n v="81101516"/>
    <s v="C-2106-1900-13-40302B-2106003-02"/>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4006384"/>
    <n v="374006384"/>
    <s v="No"/>
    <s v="N/A"/>
    <s v="Jessica Arias Gaviria"/>
    <s v="Subdirectora de Demanda"/>
    <n v="6012220601"/>
    <s v="jessica.arias@upme.gov.co"/>
    <m/>
    <m/>
    <m/>
    <m/>
    <m/>
    <m/>
    <m/>
    <m/>
    <m/>
    <m/>
    <m/>
    <m/>
    <m/>
    <m/>
    <m/>
    <m/>
    <n v="371994000"/>
    <m/>
    <m/>
    <n v="112201915"/>
    <m/>
    <m/>
    <m/>
    <n v="259792085"/>
  </r>
  <r>
    <x v="0"/>
    <x v="8"/>
    <s v="Demanda"/>
    <s v="Si"/>
    <n v="13"/>
    <s v="160-16"/>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r>
  <r>
    <x v="0"/>
    <x v="8"/>
    <s v="Demanda"/>
    <s v="Si"/>
    <n v="2"/>
    <s v="160-17"/>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500000"/>
    <m/>
    <n v="12500000"/>
    <m/>
    <n v="22119500"/>
  </r>
  <r>
    <x v="0"/>
    <x v="8"/>
    <s v="Demanda"/>
    <s v="Si"/>
    <n v="2"/>
    <s v="160-18"/>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n v="411500"/>
    <m/>
    <n v="411500"/>
    <m/>
    <n v="3703500"/>
  </r>
  <r>
    <x v="0"/>
    <x v="8"/>
    <s v="Demanda"/>
    <s v="Si"/>
    <n v="40"/>
    <s v="160-19"/>
    <s v="3 - Fomentar la articulación de la política pública, el marco regulatorio y la visión de gobierno."/>
    <s v="1 - DOCUMENTOS DE LINEAMIENTOS TÉCNICOS"/>
    <s v="Documento con los resultados de las validaciones"/>
    <n v="78111502"/>
    <s v="C-2106-1900-13-40302B-2106010-02"/>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317600"/>
    <n v="20317600"/>
    <s v="No"/>
    <s v="N/A"/>
    <s v="Jessica Arias Gaviria"/>
    <s v="Subdirectora de Demanda"/>
    <n v="6012220601"/>
    <s v="jessica.arias@upme.gov.co"/>
    <m/>
    <m/>
    <m/>
    <m/>
    <m/>
    <m/>
    <m/>
    <m/>
    <m/>
    <m/>
    <n v="20000000"/>
    <m/>
    <m/>
    <n v="2590646"/>
    <m/>
    <m/>
    <m/>
    <n v="1047606"/>
    <m/>
    <n v="4431738"/>
    <m/>
    <n v="4431738"/>
    <m/>
    <n v="7498272"/>
  </r>
  <r>
    <x v="0"/>
    <x v="8"/>
    <s v="Demanda"/>
    <s v="Si"/>
    <s v="75 (30/12/2024)"/>
    <s v="160-20"/>
    <s v="3 - Fomentar la articulación de la política pública, el marco regulatorio y la visión de gobierno."/>
    <s v="1 - DOCUMENTOS DE LINEAMIENTOS TÉCNICOS"/>
    <s v="Documento con los resultados de las validaciones"/>
    <s v="N/A"/>
    <s v="C-2106-1900-13-40302B-2106010-02"/>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40000000"/>
    <n v="40000000"/>
    <s v="No"/>
    <s v="N/A"/>
    <s v="Jessica Arias Gaviria"/>
    <s v="Subdirectora de Demanda"/>
    <n v="6012220601"/>
    <s v="jessica.arias@upme.gov.co"/>
    <m/>
    <m/>
    <m/>
    <m/>
    <n v="1255080"/>
    <n v="1255080"/>
    <n v="1581376"/>
    <n v="320796"/>
    <n v="704838"/>
    <n v="1965418"/>
    <n v="1388718"/>
    <n v="1388718"/>
    <m/>
    <m/>
    <m/>
    <m/>
    <m/>
    <m/>
    <n v="1500000"/>
    <n v="1500000"/>
    <n v="1500000"/>
    <n v="1500000"/>
    <n v="32069988"/>
    <n v="32069988"/>
  </r>
  <r>
    <x v="0"/>
    <x v="8"/>
    <s v="Demanda"/>
    <s v="Si"/>
    <n v="40"/>
    <s v="160-21"/>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51101693"/>
    <n v="51101693"/>
    <s v="No"/>
    <s v="N/A"/>
    <s v="Jessica Arias Gaviria"/>
    <s v="Subdirectora de Demanda"/>
    <n v="6012220601"/>
    <s v="jessica.arias@upme.gov.co"/>
    <m/>
    <m/>
    <m/>
    <m/>
    <m/>
    <m/>
    <m/>
    <m/>
    <n v="51800000"/>
    <m/>
    <n v="-2100000"/>
    <n v="700000"/>
    <m/>
    <n v="7000000"/>
    <m/>
    <n v="7000000"/>
    <m/>
    <n v="7000000"/>
    <m/>
    <n v="7000000"/>
    <m/>
    <n v="7000000"/>
    <m/>
    <n v="14000000"/>
  </r>
  <r>
    <x v="0"/>
    <x v="8"/>
    <s v="Demanda"/>
    <s v="Si"/>
    <n v="13"/>
    <s v="160-22"/>
    <s v="2 - Desarrollar la capacidad instalada en la planificación estratégica de la atención de la demanda."/>
    <s v="1 - DOCUMENTOS METODOLÓGICOS"/>
    <s v="Documento metodológico preliminar"/>
    <n v="43233501"/>
    <s v="C-2106-1900-13-40302B-2106005-02"/>
    <s v="Software-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r>
  <r>
    <x v="0"/>
    <x v="8"/>
    <s v="Demanda"/>
    <s v="Si"/>
    <n v="13"/>
    <s v="160-23"/>
    <s v="1 - Mejorar la representatividad en la información de la participación de los sectores económicos en el consumo de energía."/>
    <s v="1 - DOCUMENTOS DE PLANEACIÓN"/>
    <s v="Documento de planeación preliminar"/>
    <n v="43233501"/>
    <s v="C-2106-1900-13-40302B-2106003-02"/>
    <s v="Software-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r>
  <r>
    <x v="0"/>
    <x v="8"/>
    <s v="Demanda"/>
    <s v="Si"/>
    <n v="13"/>
    <s v="160-24"/>
    <s v="1 - Mejorar la representatividad en la información de la participación de los sectores económicos en el consumo de energía."/>
    <s v="1 - DOCUMENTOS DE PLANEACIÓN"/>
    <s v="Diagnóstico"/>
    <n v="43233501"/>
    <s v="C-2106-1900-13-40302B-2106003-02"/>
    <s v="Software-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r>
  <r>
    <x v="0"/>
    <x v="8"/>
    <s v="Demanda"/>
    <s v="Si"/>
    <n v="40"/>
    <s v="160-25"/>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 25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m/>
    <m/>
    <n v="2790773"/>
    <n v="930258"/>
    <m/>
    <n v="930258"/>
    <m/>
    <n v="930257"/>
  </r>
  <r>
    <x v="0"/>
    <x v="8"/>
    <s v="Demanda"/>
    <s v="Si"/>
    <n v="40"/>
    <s v="160-26"/>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 26 Prestación de servicios de apoyo a la gestión orientados a la articulación para la producción e intercambio de información técnica y científica con universidades, organizaciones de la sociedad civil, centro de investigación y pensamiento y actores"/>
    <s v="Agosto"/>
    <s v="Agosto"/>
    <s v="Septiembre"/>
    <n v="3.5"/>
    <s v="Meses"/>
    <s v="Contratación directa - Prestación de servicios profesionales"/>
    <s v="Propios - 20 - Ingresos corrientes"/>
    <n v="2409227"/>
    <n v="2409227"/>
    <s v="No"/>
    <s v="N/A"/>
    <s v="Wilson Quintero"/>
    <s v="Subdirector de Demanda"/>
    <n v="6012220601"/>
    <s v="wilson.quintero@upme.gov.co"/>
    <m/>
    <m/>
    <m/>
    <m/>
    <m/>
    <m/>
    <m/>
    <m/>
    <m/>
    <m/>
    <m/>
    <m/>
    <m/>
    <m/>
    <m/>
    <m/>
    <m/>
    <m/>
    <n v="2409227"/>
    <n v="803076"/>
    <m/>
    <n v="803076"/>
    <m/>
    <n v="803075"/>
  </r>
  <r>
    <x v="0"/>
    <x v="8"/>
    <s v="Demanda"/>
    <s v="Si"/>
    <n v="40"/>
    <s v="160-27"/>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 -27 Prestación de servicios profesionales para adelantar labores de analítica de datos orientadas a la consolidación de modelos y algoritmos mineroenergéticos, así como para diseñar e implementar arquitecturas de datos robustas, escalables y seguras q"/>
    <s v="Agosto"/>
    <s v="Agosto"/>
    <s v="Septiembre"/>
    <n v="3.5"/>
    <s v="Meses"/>
    <s v="Contratación directa - Prestación de servicios profesionales"/>
    <s v="Propios - 20 - Ingresos corrientes"/>
    <n v="7400000"/>
    <n v="7400000"/>
    <s v="No"/>
    <s v="N/A"/>
    <s v="Wilson Quintero"/>
    <s v="Subdirector de Demanda"/>
    <n v="6012220601"/>
    <s v="wilson.quintero@upme.gov.co"/>
    <m/>
    <m/>
    <m/>
    <m/>
    <m/>
    <m/>
    <m/>
    <m/>
    <m/>
    <m/>
    <m/>
    <m/>
    <m/>
    <m/>
    <m/>
    <m/>
    <m/>
    <m/>
    <n v="7400000"/>
    <n v="2466667"/>
    <m/>
    <n v="2466667"/>
    <m/>
    <n v="2466666"/>
  </r>
  <r>
    <x v="0"/>
    <x v="8"/>
    <s v="Demanda"/>
    <s v="Si"/>
    <n v="40"/>
    <s v="160-28"/>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 28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1780000"/>
    <n v="1780000"/>
    <s v="No"/>
    <s v="N/A"/>
    <s v="Wilson Quintero"/>
    <s v="Subdirector de Demanda"/>
    <n v="6012220601"/>
    <s v="wilson.quintero@upme.gov.co"/>
    <m/>
    <m/>
    <m/>
    <m/>
    <m/>
    <m/>
    <m/>
    <m/>
    <m/>
    <m/>
    <m/>
    <m/>
    <m/>
    <m/>
    <m/>
    <m/>
    <m/>
    <m/>
    <n v="1780000"/>
    <n v="593333"/>
    <m/>
    <n v="593333"/>
    <m/>
    <n v="593334"/>
  </r>
  <r>
    <x v="0"/>
    <x v="8"/>
    <s v="Demanda"/>
    <s v="Si"/>
    <n v="40"/>
    <s v="160-29"/>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 29 Prestación de servicios profesionales orientados a definir, desarrollar e implementar productos de interés sectorial a partir de la utilización de analítica de datos, con especial énfasis en las variables del sector hidrocarburos, así como contrib"/>
    <s v="Agosto"/>
    <s v="Agosto"/>
    <s v="Septiembre"/>
    <n v="3.5"/>
    <s v="Meses"/>
    <s v="Contratación directa - Prestación de servicios profesionales"/>
    <s v="Propios - 20 - Ingresos corrientes"/>
    <n v="5620000"/>
    <n v="5620000"/>
    <s v="No"/>
    <s v="N/A"/>
    <s v="Wilson Quintero"/>
    <s v="Subdirector de Demanda"/>
    <n v="6012220601"/>
    <s v="wilson.quintero@upme.gov.co"/>
    <m/>
    <m/>
    <m/>
    <m/>
    <m/>
    <m/>
    <m/>
    <m/>
    <m/>
    <m/>
    <m/>
    <m/>
    <m/>
    <m/>
    <m/>
    <m/>
    <m/>
    <m/>
    <n v="5620000"/>
    <n v="1873333"/>
    <m/>
    <n v="1873333"/>
    <m/>
    <n v="1873334"/>
  </r>
  <r>
    <x v="0"/>
    <x v="8"/>
    <s v="Demanda"/>
    <s v="Si"/>
    <n v="46"/>
    <s v="160-30"/>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 - 30 Prestación de servicios profesionales para el diseño y desarrollo de la estrategia de divulgación de productos de analítica y del portal SIMEC, así como la documentación, el diseño y el soporte técnico de los portales interactivos en desarrollo p"/>
    <s v="Agosto"/>
    <s v="Agosto"/>
    <s v="Septiembre"/>
    <n v="3.5"/>
    <s v="Meses"/>
    <s v="Contratación directa - Prestación de servicios profesionales"/>
    <s v="Propios - 20 - Ingresos corrientes"/>
    <n v="6933000"/>
    <n v="6933000"/>
    <s v="No"/>
    <s v="N/A"/>
    <s v="Wilson Quintero"/>
    <s v="Subdirector de Demanda"/>
    <n v="6012220601"/>
    <s v="wilson.quintero@upme.gov.co"/>
    <m/>
    <m/>
    <m/>
    <m/>
    <m/>
    <m/>
    <m/>
    <m/>
    <m/>
    <m/>
    <m/>
    <m/>
    <m/>
    <m/>
    <m/>
    <m/>
    <m/>
    <m/>
    <n v="6933000"/>
    <n v="933000"/>
    <m/>
    <n v="2000000"/>
    <m/>
    <n v="4000000"/>
  </r>
  <r>
    <x v="0"/>
    <x v="8"/>
    <s v="Demanda"/>
    <s v="Si"/>
    <n v="46"/>
    <s v="160-31"/>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 - 31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400"/>
    <m/>
    <m/>
    <m/>
    <m/>
    <n v="7129400"/>
  </r>
  <r>
    <x v="0"/>
    <x v="8"/>
    <s v="Demanda"/>
    <s v="Si"/>
    <n v="46"/>
    <s v="160-32"/>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 - 32 Prestar servicios profesionales para apoyar los análisis beneficio costo de los documentos de planeamiento de la Subdirección, a partir de la información derivada de los proyectos de FNCE, GEE e Hidrógeno, en el marco de la transición energética "/>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r>
  <r>
    <x v="0"/>
    <x v="8"/>
    <s v="Demanda"/>
    <s v="Si"/>
    <n v="46"/>
    <s v="160-33"/>
    <s v="1 - Mejorar la representatividad en la información de la participación de los sectores económicos en el consumo de energía."/>
    <s v="1 - DOCUMENTOS DE PLANEACIÓN"/>
    <s v="Documento de planeación preliminar"/>
    <n v="80111620"/>
    <s v="C-2106-1900-13-40302B-2106003-02"/>
    <s v="Software- Licencias"/>
    <s v="160 - 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r>
  <r>
    <x v="0"/>
    <x v="9"/>
    <s v="Territorial"/>
    <s v="Si"/>
    <s v="75 (30/12/2024)"/>
    <s v="100-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r>
  <r>
    <x v="0"/>
    <x v="9"/>
    <s v="Territorial"/>
    <s v="Si"/>
    <n v="13"/>
    <s v="100-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r>
  <r>
    <x v="0"/>
    <x v="9"/>
    <s v="Territorial"/>
    <s v="Si"/>
    <s v="01"/>
    <s v="100-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r>
  <r>
    <x v="0"/>
    <x v="9"/>
    <s v="Territorial"/>
    <s v="Si"/>
    <n v="25"/>
    <s v="100-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4551995"/>
    <n v="4551995"/>
    <s v="No"/>
    <s v="N/A"/>
    <s v="Ingrid Viviana Garzón"/>
    <s v="Asesora Dirección general"/>
    <n v="6012220601"/>
    <s v="ingrid.garzon@upme.gov.co"/>
    <m/>
    <m/>
    <m/>
    <m/>
    <m/>
    <m/>
    <m/>
    <m/>
    <m/>
    <m/>
    <m/>
    <m/>
    <m/>
    <m/>
    <m/>
    <m/>
    <m/>
    <m/>
    <m/>
    <m/>
    <m/>
    <m/>
    <m/>
    <n v="4551995"/>
  </r>
  <r>
    <x v="0"/>
    <x v="9"/>
    <s v="Territorial"/>
    <s v="Si"/>
    <n v="11"/>
    <s v="100-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1400000"/>
    <n v="81400000"/>
    <s v="No"/>
    <s v="N/A"/>
    <s v="Ingrid Viviana Garzón"/>
    <s v="Asesora Dirección general"/>
    <n v="6012220601"/>
    <s v="ingrid.garzon@upme.gov.co"/>
    <n v="81400000"/>
    <m/>
    <m/>
    <n v="1726667"/>
    <m/>
    <n v="7400000"/>
    <m/>
    <n v="7400000"/>
    <m/>
    <n v="7400000"/>
    <m/>
    <n v="7400000"/>
    <m/>
    <n v="7400000"/>
    <m/>
    <n v="7400000"/>
    <m/>
    <n v="7400000"/>
    <m/>
    <n v="7400000"/>
    <m/>
    <n v="7400000"/>
    <m/>
    <n v="13073333"/>
  </r>
  <r>
    <x v="0"/>
    <x v="9"/>
    <s v="Territorial"/>
    <s v="Si"/>
    <n v="46"/>
    <s v="100-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m/>
    <m/>
    <n v="9493510"/>
    <m/>
    <n v="21709086"/>
  </r>
  <r>
    <x v="0"/>
    <x v="9"/>
    <s v="Territorial"/>
    <s v="Si"/>
    <s v="75 (30/12/2024)"/>
    <s v="100-7"/>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5075000"/>
    <n v="75075000"/>
    <s v="No"/>
    <s v="N/A"/>
    <s v="Ingrid Viviana Garzón"/>
    <s v="Asesora Dirección general"/>
    <n v="6012220601"/>
    <s v="ingrid.garzon@upme.gov.co"/>
    <m/>
    <m/>
    <m/>
    <m/>
    <n v="75075000"/>
    <m/>
    <m/>
    <n v="3412500"/>
    <n v="-787500"/>
    <n v="7875000"/>
    <m/>
    <n v="7875000"/>
    <m/>
    <n v="7875000"/>
    <m/>
    <n v="7875000"/>
    <m/>
    <n v="7875000"/>
    <m/>
    <n v="7875000"/>
    <m/>
    <n v="7875000"/>
    <m/>
    <n v="15750000"/>
  </r>
  <r>
    <x v="0"/>
    <x v="9"/>
    <s v="Territorial"/>
    <s v="Si"/>
    <n v="2"/>
    <s v="100-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900000"/>
    <n v="79900000"/>
    <s v="No"/>
    <s v="N/A"/>
    <s v="Ingrid Viviana Garzón"/>
    <s v="Asesora Dirección general"/>
    <n v="6012220601"/>
    <s v="ingrid.garzon@upme.gov.co"/>
    <m/>
    <m/>
    <n v="79900000"/>
    <m/>
    <m/>
    <n v="4370000"/>
    <n v="-460000"/>
    <n v="7435675"/>
    <m/>
    <n v="6900000"/>
    <m/>
    <n v="7845675"/>
    <m/>
    <n v="6900000"/>
    <m/>
    <n v="6900000"/>
    <m/>
    <n v="6900000"/>
    <m/>
    <n v="7900000"/>
    <m/>
    <n v="7900000"/>
    <m/>
    <n v="15848650"/>
  </r>
  <r>
    <x v="0"/>
    <x v="9"/>
    <s v="Territorial"/>
    <s v="Si"/>
    <n v="42"/>
    <s v="100-9"/>
    <s v="1 - Incluir el uso de las particularidades propias de cada territorio en la planeación minero energética."/>
    <s v="2 - DOCUMENTOS METODOLÓGICOS"/>
    <s v="Identificar e incorporar variables sociales, ambientales y territoriales en los documentos de planeación minero energética"/>
    <n v="78111502"/>
    <s v="C-2106-1900-10-53105E-2106005-0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62547940"/>
    <n v="162547940"/>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m/>
    <m/>
    <n v="3725645.5"/>
    <m/>
    <n v="3725645.5"/>
  </r>
  <r>
    <x v="0"/>
    <x v="9"/>
    <s v="Territorial"/>
    <s v="Si"/>
    <n v="11"/>
    <s v="100-1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66000000"/>
    <n v="66000000"/>
    <s v="No"/>
    <s v="N/A"/>
    <s v="Ingrid Viviana Garzón"/>
    <s v="Asesora Dirección general"/>
    <n v="6012220601"/>
    <s v="ingrid.garzon@upme.gov.co"/>
    <m/>
    <m/>
    <n v="66000000"/>
    <m/>
    <m/>
    <n v="1400000"/>
    <m/>
    <n v="7000000"/>
    <m/>
    <n v="7826125"/>
    <m/>
    <n v="7826125"/>
    <m/>
    <n v="7495675"/>
    <m/>
    <n v="7000000"/>
    <m/>
    <n v="7000000"/>
    <m/>
    <n v="7000000"/>
    <m/>
    <n v="7000000"/>
    <m/>
    <n v="6452075"/>
  </r>
  <r>
    <x v="0"/>
    <x v="9"/>
    <s v="Territorial"/>
    <s v="Si"/>
    <n v="38"/>
    <s v="100-11"/>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r>
  <r>
    <x v="0"/>
    <x v="9"/>
    <s v="Territorial"/>
    <s v="Si"/>
    <n v="46"/>
    <s v="100-1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4276480"/>
    <n v="34276480"/>
    <s v="No"/>
    <s v="N/A"/>
    <s v="Ingrid Viviana Garzón"/>
    <s v="Asesora Dirección general"/>
    <n v="6012220601"/>
    <s v="ingrid.garzon@upme.gov.co"/>
    <m/>
    <m/>
    <m/>
    <m/>
    <m/>
    <m/>
    <n v="34276480"/>
    <m/>
    <m/>
    <n v="3366440"/>
    <m/>
    <n v="4590600"/>
    <m/>
    <n v="4590600"/>
    <m/>
    <n v="4590600"/>
    <m/>
    <n v="4590600"/>
    <m/>
    <n v="4590600"/>
    <m/>
    <n v="4590600"/>
    <m/>
    <n v="3366440"/>
  </r>
  <r>
    <x v="0"/>
    <x v="9"/>
    <s v="Territorial"/>
    <s v="Si"/>
    <n v="11"/>
    <s v="100-1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n v="4666667"/>
    <m/>
    <m/>
  </r>
  <r>
    <x v="0"/>
    <x v="9"/>
    <s v="Territorial"/>
    <s v="Si"/>
    <n v="46"/>
    <s v="100-1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42000000"/>
    <n v="42000000"/>
    <s v="No"/>
    <s v="N/A"/>
    <s v="Ingrid Viviana Garzón"/>
    <s v="Asesora Dirección general"/>
    <n v="6012220601"/>
    <s v="ingrid.garzon@upme.gov.co"/>
    <m/>
    <m/>
    <m/>
    <m/>
    <m/>
    <m/>
    <n v="42000000"/>
    <m/>
    <m/>
    <m/>
    <m/>
    <n v="13766666"/>
    <m/>
    <m/>
    <m/>
    <n v="7000000"/>
    <n v="-6066667"/>
    <n v="14000000"/>
    <m/>
    <n v="1166667"/>
    <m/>
    <m/>
    <m/>
    <m/>
  </r>
  <r>
    <x v="0"/>
    <x v="9"/>
    <s v="Territorial"/>
    <s v="Si"/>
    <s v="75 (30/12/2024)"/>
    <s v="100-1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r>
  <r>
    <x v="0"/>
    <x v="9"/>
    <s v="Territorial"/>
    <s v="Si"/>
    <n v="46"/>
    <s v="100-1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2500000"/>
    <n v="22500000"/>
    <s v="No"/>
    <s v="N/A"/>
    <s v="Ingrid Viviana Garzón"/>
    <s v="Asesora Dirección general"/>
    <n v="6012220601"/>
    <s v="ingrid.garzon@upme.gov.co"/>
    <m/>
    <m/>
    <m/>
    <m/>
    <m/>
    <m/>
    <m/>
    <m/>
    <m/>
    <m/>
    <m/>
    <m/>
    <m/>
    <m/>
    <m/>
    <m/>
    <m/>
    <m/>
    <n v="22500000"/>
    <m/>
    <m/>
    <n v="7500000"/>
    <m/>
    <n v="15000000"/>
  </r>
  <r>
    <x v="0"/>
    <x v="9"/>
    <s v="Territorial"/>
    <s v="Si"/>
    <n v="13"/>
    <s v="100-17"/>
    <s v="1 - Incluir el uso de las particularidades propias de cada territorio en la planeación minero energética."/>
    <s v="2 - DOCUMENTOS METODOLÓGICOS"/>
    <s v="Identificar e incorporar variables sociales, ambientales y territoriales en los documentos de planeación minero energética"/>
    <n v="80101602"/>
    <s v="C-2106-1900-10-53105E-2106005-0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42000000"/>
    <m/>
    <n v="6000000"/>
  </r>
  <r>
    <x v="0"/>
    <x v="9"/>
    <s v="Territorial"/>
    <s v="Si"/>
    <n v="13"/>
    <s v="100-1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85340001"/>
    <n v="85340001"/>
    <s v="No"/>
    <s v="N/A"/>
    <s v="Ingrid Viviana Garzón"/>
    <s v="Asesora Dirección general"/>
    <n v="6012220601"/>
    <s v="ingrid.garzon@upme.gov.co"/>
    <m/>
    <m/>
    <m/>
    <m/>
    <m/>
    <m/>
    <n v="85340001"/>
    <m/>
    <m/>
    <n v="6897700"/>
    <n v="-2099300"/>
    <n v="8997000"/>
    <m/>
    <n v="8997000"/>
    <m/>
    <n v="8997000"/>
    <m/>
    <n v="8997000"/>
    <m/>
    <n v="8997000"/>
    <m/>
    <n v="8997000"/>
    <m/>
    <n v="17994000"/>
  </r>
  <r>
    <x v="0"/>
    <x v="9"/>
    <s v="Territorial"/>
    <s v="Si"/>
    <s v="75 (30/12/2024)"/>
    <s v="100-19"/>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m/>
    <m/>
    <n v="3698783"/>
  </r>
  <r>
    <x v="0"/>
    <x v="9"/>
    <s v="Territorial"/>
    <s v="Si"/>
    <s v="75 (30/12/2024)"/>
    <s v="100-2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r>
  <r>
    <x v="0"/>
    <x v="9"/>
    <s v="Territorial"/>
    <s v="Si"/>
    <n v="42"/>
    <s v="100-2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r>
  <r>
    <x v="0"/>
    <x v="9"/>
    <s v="Territorial"/>
    <s v="Si"/>
    <n v="31"/>
    <s v="100-2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r>
  <r>
    <x v="0"/>
    <x v="9"/>
    <s v="Territorial"/>
    <s v="Si"/>
    <s v="75 (30/12/2024)"/>
    <s v="100-2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66513333"/>
    <n v="66513333"/>
    <s v="No"/>
    <s v="N/A"/>
    <s v="Ingrid Viviana Garzón"/>
    <s v="Asesora Dirección general"/>
    <n v="6012220601"/>
    <s v="ingrid.garzon@upme.gov.co"/>
    <m/>
    <m/>
    <m/>
    <m/>
    <n v="66513333"/>
    <m/>
    <m/>
    <n v="4830000"/>
    <m/>
    <n v="6900000"/>
    <m/>
    <n v="7520675"/>
    <m/>
    <n v="6900000"/>
    <m/>
    <n v="6900000"/>
    <m/>
    <n v="6900000"/>
    <m/>
    <n v="7300000"/>
    <m/>
    <n v="6900000"/>
    <m/>
    <n v="12362658"/>
  </r>
  <r>
    <x v="0"/>
    <x v="9"/>
    <s v="Territorial"/>
    <s v="Si"/>
    <n v="13"/>
    <s v="100-2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37579900"/>
    <n v="37579900"/>
    <s v="No"/>
    <s v="N/A"/>
    <s v="Ingrid Viviana Garzón"/>
    <s v="Asesora Dirección general"/>
    <n v="6012220601"/>
    <s v="ingrid.garzon@upme.gov.co"/>
    <m/>
    <m/>
    <m/>
    <m/>
    <m/>
    <m/>
    <n v="37579900"/>
    <m/>
    <m/>
    <n v="3333333"/>
    <m/>
    <n v="5000000"/>
    <m/>
    <n v="5000000"/>
    <m/>
    <n v="5000000"/>
    <m/>
    <n v="5000000"/>
    <m/>
    <n v="5000000"/>
    <m/>
    <n v="5000000"/>
    <m/>
    <n v="4246567"/>
  </r>
  <r>
    <x v="0"/>
    <x v="9"/>
    <s v="Territorial"/>
    <s v="Si"/>
    <n v="46"/>
    <s v="100-2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1841050"/>
    <n v="21841050"/>
    <s v="No"/>
    <s v="N/A"/>
    <s v="Ingrid Viviana Garzón"/>
    <s v="Asesora Dirección general"/>
    <n v="6012220601"/>
    <s v="ingrid.garzon@upme.gov.co"/>
    <m/>
    <m/>
    <m/>
    <m/>
    <m/>
    <m/>
    <m/>
    <m/>
    <m/>
    <m/>
    <m/>
    <m/>
    <m/>
    <m/>
    <m/>
    <m/>
    <n v="21841050"/>
    <m/>
    <m/>
    <n v="4227300"/>
    <m/>
    <n v="4227300"/>
    <m/>
    <n v="8454600"/>
  </r>
  <r>
    <x v="0"/>
    <x v="9"/>
    <s v="Territorial"/>
    <s v="Si"/>
    <n v="8"/>
    <s v="100-2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r>
  <r>
    <x v="0"/>
    <x v="9"/>
    <s v="Territorial"/>
    <s v="Si"/>
    <n v="2"/>
    <s v="100-27"/>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85600000"/>
    <n v="85600000"/>
    <s v="No"/>
    <s v="N/A"/>
    <s v="Ingrid Viviana Garzón"/>
    <s v="Asesora Dirección general"/>
    <n v="6012220601"/>
    <s v="ingrid.garzon@upme.gov.co"/>
    <m/>
    <m/>
    <n v="85600000"/>
    <m/>
    <m/>
    <n v="4419600"/>
    <m/>
    <n v="7901675"/>
    <m/>
    <n v="7366000"/>
    <m/>
    <n v="7986675"/>
    <m/>
    <n v="7366000"/>
    <m/>
    <n v="7366000"/>
    <m/>
    <n v="7366000"/>
    <m/>
    <n v="8213975"/>
    <m/>
    <n v="8213975"/>
    <m/>
    <n v="16427950"/>
  </r>
  <r>
    <x v="0"/>
    <x v="9"/>
    <s v="Territorial"/>
    <s v="Si"/>
    <n v="46"/>
    <s v="100-2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tre niveles de gobier"/>
    <s v="Julio"/>
    <s v="Julio"/>
    <s v="Agosto"/>
    <n v="5.5"/>
    <s v="Meses"/>
    <s v="Contratación directa - Prestación de servicios profesionales"/>
    <s v="Propios - 20 - Ingresos corrientes"/>
    <n v="35966667"/>
    <n v="35966667"/>
    <s v="No"/>
    <s v="N/A"/>
    <s v="Ingrid Viviana Garzón"/>
    <s v="Asesora Dirección general"/>
    <n v="6012220601"/>
    <s v="ingrid.garzon@upme.gov.co"/>
    <m/>
    <m/>
    <m/>
    <m/>
    <m/>
    <m/>
    <m/>
    <m/>
    <m/>
    <m/>
    <m/>
    <m/>
    <m/>
    <m/>
    <m/>
    <m/>
    <m/>
    <m/>
    <n v="17333333"/>
    <m/>
    <m/>
    <n v="4333333"/>
    <m/>
    <n v="13000000"/>
  </r>
  <r>
    <x v="0"/>
    <x v="9"/>
    <s v="Territorial"/>
    <s v="Si"/>
    <s v="01"/>
    <s v="100-29"/>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000000"/>
    <m/>
    <n v="8000000"/>
    <m/>
    <n v="16000000"/>
  </r>
  <r>
    <x v="0"/>
    <x v="9"/>
    <s v="Territorial"/>
    <s v="Si"/>
    <s v="75 (30/12/2024)"/>
    <s v="100-30"/>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r>
  <r>
    <x v="0"/>
    <x v="9"/>
    <s v="Territorial"/>
    <s v="Si"/>
    <n v="11"/>
    <s v="100-31"/>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613950"/>
    <n v="48613950"/>
    <s v="No"/>
    <s v="N/A"/>
    <s v="Ingrid Viviana Garzón"/>
    <s v="Asesora Dirección general"/>
    <n v="6012220601"/>
    <s v="ingrid.garzon@upme.gov.co"/>
    <n v="48613950"/>
    <m/>
    <m/>
    <n v="1972740"/>
    <n v="-140910"/>
    <n v="4227300"/>
    <m/>
    <n v="4227300"/>
    <m/>
    <n v="4227300"/>
    <m/>
    <n v="4227300"/>
    <m/>
    <n v="4227300"/>
    <m/>
    <n v="4227300"/>
    <m/>
    <n v="4227300"/>
    <m/>
    <n v="4227300"/>
    <m/>
    <n v="4227300"/>
    <m/>
    <n v="8595510"/>
  </r>
  <r>
    <x v="0"/>
    <x v="9"/>
    <s v="Territorial"/>
    <s v="Si"/>
    <n v="46"/>
    <s v="100-32"/>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874270"/>
    <n v="23874270"/>
    <s v="No"/>
    <s v="N/A"/>
    <s v="Ingrid Viviana Garzón"/>
    <s v="Asesora Dirección general"/>
    <n v="6012220601"/>
    <s v="ingrid.garzon@upme.gov.co"/>
    <m/>
    <m/>
    <n v="38958800"/>
    <m/>
    <m/>
    <n v="2969538"/>
    <n v="-438060"/>
    <n v="3285450"/>
    <m/>
    <n v="3285450"/>
    <m/>
    <n v="3285450"/>
    <m/>
    <n v="3285450"/>
    <m/>
    <n v="3285450"/>
    <n v="-15084530"/>
    <n v="3285450"/>
    <m/>
    <n v="753972"/>
    <m/>
    <m/>
    <m/>
    <m/>
  </r>
  <r>
    <x v="0"/>
    <x v="9"/>
    <s v="Territorial"/>
    <s v="Si"/>
    <n v="11"/>
    <s v="100-33"/>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r>
  <r>
    <x v="0"/>
    <x v="9"/>
    <s v="Territorial"/>
    <s v="Si"/>
    <n v="11"/>
    <s v="100-34"/>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950000"/>
    <n v="37950000"/>
    <s v="No"/>
    <s v="N/A"/>
    <s v="Ingrid Viviana Garzón"/>
    <s v="Asesora Dirección general"/>
    <n v="6012220601"/>
    <s v="ingrid.garzon@upme.gov.co"/>
    <m/>
    <m/>
    <n v="37950000"/>
    <m/>
    <m/>
    <n v="2990000"/>
    <n v="-460000"/>
    <n v="3450000"/>
    <m/>
    <n v="3450000"/>
    <m/>
    <n v="3450000"/>
    <m/>
    <n v="3450000"/>
    <m/>
    <n v="3450000"/>
    <m/>
    <n v="3450000"/>
    <m/>
    <n v="3450000"/>
    <m/>
    <n v="3450000"/>
    <m/>
    <n v="6900000"/>
  </r>
  <r>
    <x v="0"/>
    <x v="9"/>
    <s v="Territorial"/>
    <s v="Si"/>
    <s v="75 (30/12/2024)"/>
    <s v="100-3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r>
  <r>
    <x v="0"/>
    <x v="9"/>
    <s v="Territorial"/>
    <s v="Si"/>
    <n v="11"/>
    <s v="100-36"/>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9500000"/>
    <n v="49500000"/>
    <s v="No"/>
    <s v="N/A"/>
    <s v="Ingrid Viviana Garzón"/>
    <s v="Asesora Dirección general"/>
    <n v="6012220601"/>
    <s v="ingrid.garzon@upme.gov.co"/>
    <m/>
    <m/>
    <n v="49500000"/>
    <m/>
    <m/>
    <n v="3900000"/>
    <n v="-600000"/>
    <n v="4500000"/>
    <m/>
    <n v="4500000"/>
    <m/>
    <n v="4500000"/>
    <m/>
    <n v="4500000"/>
    <m/>
    <n v="4500000"/>
    <m/>
    <n v="4500000"/>
    <m/>
    <n v="4500000"/>
    <m/>
    <n v="4500000"/>
    <m/>
    <n v="9000000"/>
  </r>
  <r>
    <x v="0"/>
    <x v="9"/>
    <s v="Territorial"/>
    <s v="Si"/>
    <s v="75 (30/12/2024)"/>
    <s v="100-37"/>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00000"/>
    <n v="62000000"/>
    <s v="No"/>
    <s v="N/A"/>
    <s v="Ingrid Viviana Garzón"/>
    <s v="Asesora Dirección general"/>
    <n v="6012220601"/>
    <s v="ingrid.garzon@upme.gov.co"/>
    <m/>
    <m/>
    <n v="62000000"/>
    <m/>
    <m/>
    <n v="4960000"/>
    <m/>
    <n v="6200000"/>
    <m/>
    <n v="6200000"/>
    <m/>
    <n v="6200000"/>
    <m/>
    <n v="6200000"/>
    <m/>
    <n v="6200000"/>
    <m/>
    <n v="6200000"/>
    <m/>
    <n v="6200000"/>
    <m/>
    <n v="6200000"/>
    <m/>
    <n v="7440000"/>
  </r>
  <r>
    <x v="0"/>
    <x v="9"/>
    <s v="Territorial"/>
    <s v="Si"/>
    <s v="75 (30/12/2024)"/>
    <s v="100-38"/>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m/>
    <n v="7500000"/>
    <m/>
    <n v="7500000"/>
    <m/>
    <n v="7500000"/>
    <m/>
    <n v="13250000"/>
  </r>
  <r>
    <x v="0"/>
    <x v="9"/>
    <s v="Territorial"/>
    <s v="Si"/>
    <n v="2"/>
    <s v="100-39"/>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2500000"/>
    <n v="82500000"/>
    <s v="No"/>
    <s v="N/A"/>
    <s v="Ingrid Viviana Garzón"/>
    <s v="Asesora Dirección general"/>
    <n v="6012220601"/>
    <s v="ingrid.garzon@upme.gov.co"/>
    <m/>
    <m/>
    <n v="81250000"/>
    <m/>
    <m/>
    <n v="1500000"/>
    <n v="-1000000"/>
    <n v="7500000"/>
    <m/>
    <n v="7500000"/>
    <m/>
    <n v="8045675"/>
    <m/>
    <n v="8716575"/>
    <m/>
    <n v="7500000"/>
    <m/>
    <n v="7500000"/>
    <m/>
    <n v="7500000"/>
    <m/>
    <n v="7500000"/>
    <m/>
    <n v="15000000"/>
  </r>
  <r>
    <x v="0"/>
    <x v="9"/>
    <s v="Territorial"/>
    <s v="Si"/>
    <n v="46"/>
    <s v="100-40"/>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r>
  <r>
    <x v="0"/>
    <x v="9"/>
    <s v="Territorial"/>
    <s v="Si"/>
    <n v="11"/>
    <s v="100-41"/>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4862700"/>
    <n v="14862700"/>
    <s v="No"/>
    <s v="N/A"/>
    <s v="Ingrid Viviana Garzón"/>
    <s v="Asesora Dirección general"/>
    <n v="6012220601"/>
    <s v="ingrid.garzon@upme.gov.co"/>
    <m/>
    <m/>
    <n v="13862700"/>
    <m/>
    <m/>
    <n v="588115"/>
    <m/>
    <n v="1260247"/>
    <m/>
    <n v="1260247"/>
    <m/>
    <n v="1344261"/>
    <m/>
    <n v="1344261"/>
    <m/>
    <n v="824351"/>
    <m/>
    <n v="6675757"/>
    <m/>
    <n v="565461"/>
    <m/>
    <m/>
    <m/>
    <m/>
  </r>
  <r>
    <x v="0"/>
    <x v="9"/>
    <s v="Territorial"/>
    <s v="Si"/>
    <n v="46"/>
    <s v="100-42"/>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3296667"/>
    <n v="83296667"/>
    <s v="No"/>
    <s v="N/A"/>
    <s v="Ingrid Viviana Garzón"/>
    <s v="Asesora Dirección general"/>
    <n v="6012220601"/>
    <s v="ingrid.garzon@upme.gov.co"/>
    <m/>
    <m/>
    <m/>
    <m/>
    <n v="83850000"/>
    <m/>
    <m/>
    <n v="3596667"/>
    <n v="-553333"/>
    <n v="9203395"/>
    <m/>
    <n v="9203395"/>
    <m/>
    <n v="8300000"/>
    <m/>
    <n v="8300000"/>
    <m/>
    <n v="8300000"/>
    <m/>
    <n v="8300000"/>
    <m/>
    <n v="8300000"/>
    <m/>
    <n v="19793210"/>
  </r>
  <r>
    <x v="0"/>
    <x v="9"/>
    <s v="Territorial"/>
    <s v="Si"/>
    <n v="5"/>
    <s v="100-43"/>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r>
  <r>
    <x v="0"/>
    <x v="9"/>
    <s v="Territorial"/>
    <s v="Si"/>
    <s v="75 (30/12/2024)"/>
    <s v="100-44"/>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r>
  <r>
    <x v="0"/>
    <x v="9"/>
    <s v="Territorial"/>
    <s v="Si"/>
    <n v="25"/>
    <s v="100-45"/>
    <s v="2 - Fortalecer el conocimiento de la población y el territorio en cuanto a la dinámica de la planeación minero energética. "/>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s v="c"/>
    <s v="C-2106-1900-10-53105E-2106022-02"/>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n v="56000000"/>
    <m/>
    <n v="56000000"/>
    <m/>
    <n v="56335071"/>
  </r>
  <r>
    <x v="0"/>
    <x v="9"/>
    <s v="Territorial"/>
    <s v="Si"/>
    <n v="2"/>
    <s v="100-46"/>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70500000"/>
    <n v="70500000"/>
    <s v="No"/>
    <s v="N/A"/>
    <s v="Ingrid Viviana Garzón"/>
    <s v="Asesora Dirección general"/>
    <n v="6012220601"/>
    <s v="ingrid.garzon@upme.gov.co"/>
    <m/>
    <m/>
    <n v="70500000"/>
    <m/>
    <m/>
    <n v="6026125"/>
    <n v="-800000"/>
    <n v="6000000"/>
    <m/>
    <n v="6000000"/>
    <m/>
    <n v="6000000"/>
    <m/>
    <n v="7471800"/>
    <m/>
    <n v="6000000"/>
    <m/>
    <n v="6000000"/>
    <m/>
    <n v="7000000"/>
    <m/>
    <n v="6000000"/>
    <m/>
    <n v="13202075"/>
  </r>
  <r>
    <x v="0"/>
    <x v="9"/>
    <s v="Territorial"/>
    <s v="Si"/>
    <n v="46"/>
    <s v="100-4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000000"/>
    <m/>
    <n v="13722800"/>
  </r>
  <r>
    <x v="0"/>
    <x v="9"/>
    <s v="Territorial"/>
    <s v="Si"/>
    <n v="25"/>
    <s v="100-4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s v="N/A"/>
    <s v="C-2106-1900-10-53105E-2106022-02"/>
    <s v="Viáticos y gastos de viaje"/>
    <s v="100-48 Pago de viáticos y gastos de desplazamiento para la implementación y evaluación de la estrategia de comunicación y participación de la UPME."/>
    <s v="Febrero"/>
    <s v="Febrero"/>
    <s v="Febrero"/>
    <n v="12"/>
    <s v="Meses"/>
    <s v="N/A"/>
    <s v="Propios - 20 - Ingresos corrientes"/>
    <n v="96318378"/>
    <n v="96318378"/>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7000000"/>
    <n v="7000000"/>
    <n v="10000000"/>
    <n v="10000000"/>
    <n v="10972341"/>
    <n v="16035168"/>
  </r>
  <r>
    <x v="0"/>
    <x v="9"/>
    <s v="Territorial"/>
    <s v="Si"/>
    <n v="46"/>
    <s v="100-4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n v="1998990"/>
    <m/>
    <m/>
    <m/>
    <m/>
  </r>
  <r>
    <x v="0"/>
    <x v="9"/>
    <s v="Territorial"/>
    <s v="Si"/>
    <n v="5"/>
    <s v="100-5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8466667"/>
    <n v="68466667"/>
    <s v="No"/>
    <s v="N/A"/>
    <s v="Ingrid Viviana Garzón"/>
    <s v="Asesora Dirección general"/>
    <n v="6012220601"/>
    <s v="ingrid.garzon@upme.gov.co"/>
    <m/>
    <m/>
    <n v="68466667"/>
    <m/>
    <m/>
    <n v="3600000"/>
    <m/>
    <n v="6000000"/>
    <m/>
    <n v="6495675"/>
    <m/>
    <n v="6000000"/>
    <m/>
    <n v="6000000"/>
    <m/>
    <n v="6000000"/>
    <m/>
    <n v="6000000"/>
    <m/>
    <n v="6000000"/>
    <m/>
    <n v="6000000"/>
    <m/>
    <n v="12000000"/>
  </r>
  <r>
    <x v="0"/>
    <x v="9"/>
    <s v="Territorial"/>
    <s v="Si"/>
    <n v="8"/>
    <s v="100-51"/>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m/>
    <m/>
    <n v="4659681"/>
    <m/>
    <m/>
  </r>
  <r>
    <x v="0"/>
    <x v="9"/>
    <s v="Territorial"/>
    <s v="Si"/>
    <s v="75 (30/12/2024)"/>
    <s v="100-52"/>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24000000"/>
  </r>
  <r>
    <x v="0"/>
    <x v="9"/>
    <s v="Territorial"/>
    <s v="Si"/>
    <s v="75 (30/12/2024)"/>
    <s v="100-5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6000000"/>
    <n v="26000000"/>
    <s v="No"/>
    <s v="N/A"/>
    <s v="Ingrid Viviana Garzón"/>
    <s v="Asesora Dirección general"/>
    <n v="6012220601"/>
    <s v="ingrid.garzon@upme.gov.co"/>
    <n v="26000000"/>
    <m/>
    <n v="-1066667"/>
    <m/>
    <m/>
    <m/>
    <m/>
    <m/>
    <m/>
    <m/>
    <m/>
    <m/>
    <m/>
    <m/>
    <m/>
    <m/>
    <m/>
    <m/>
    <m/>
    <n v="933333"/>
    <m/>
    <n v="8000000"/>
    <m/>
    <n v="16000000"/>
  </r>
  <r>
    <x v="0"/>
    <x v="9"/>
    <s v="Territorial"/>
    <s v="Si"/>
    <n v="46"/>
    <s v="100-54"/>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141800"/>
    <n v="13141800"/>
    <s v="No"/>
    <s v="N/A"/>
    <s v="Ingrid Viviana Garzón"/>
    <s v="Asesora Dirección general"/>
    <n v="6012220601"/>
    <s v="ingrid.garzon@upme.gov.co"/>
    <m/>
    <m/>
    <m/>
    <m/>
    <m/>
    <m/>
    <m/>
    <m/>
    <m/>
    <m/>
    <m/>
    <m/>
    <m/>
    <m/>
    <m/>
    <m/>
    <n v="13141800"/>
    <m/>
    <m/>
    <n v="3285450"/>
    <m/>
    <n v="3285450"/>
    <m/>
    <n v="6570900"/>
  </r>
  <r>
    <x v="0"/>
    <x v="9"/>
    <s v="Territorial"/>
    <s v="Si"/>
    <n v="33"/>
    <s v="100-55"/>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2111801"/>
    <s v="C-2106-1900-10-53105E-2106022-02"/>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r>
  <r>
    <x v="0"/>
    <x v="9"/>
    <s v="Territorial"/>
    <s v="Si"/>
    <n v="46"/>
    <s v="100-56"/>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544534"/>
    <m/>
    <m/>
  </r>
  <r>
    <x v="0"/>
    <x v="9"/>
    <s v="Territorial"/>
    <s v="Si"/>
    <n v="8"/>
    <s v="100-5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7571800"/>
    <n v="77571800"/>
    <s v="No"/>
    <s v="N/A"/>
    <s v="Ingrid Viviana Garzón"/>
    <s v="Asesora Dirección general"/>
    <n v="6012220601"/>
    <s v="ingrid.garzon@upme.gov.co"/>
    <m/>
    <m/>
    <m/>
    <m/>
    <n v="77571800"/>
    <m/>
    <m/>
    <n v="4250000"/>
    <n v="-3250000"/>
    <n v="7500000"/>
    <m/>
    <n v="7500000"/>
    <m/>
    <n v="7500000"/>
    <m/>
    <n v="7500000"/>
    <m/>
    <n v="7500000"/>
    <m/>
    <n v="7500000"/>
    <m/>
    <n v="7500000"/>
    <m/>
    <n v="15000000"/>
  </r>
  <r>
    <x v="0"/>
    <x v="9"/>
    <s v="Territorial"/>
    <s v="Si"/>
    <n v="8"/>
    <s v="100-5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97000"/>
    <m/>
    <n v="8897000"/>
    <m/>
    <n v="8897000"/>
    <m/>
    <n v="17794000"/>
  </r>
  <r>
    <x v="0"/>
    <x v="9"/>
    <s v="Territorial"/>
    <s v="Si"/>
    <n v="33"/>
    <s v="100-5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9113974"/>
    <n v="19113974"/>
    <s v="No"/>
    <s v="N/A"/>
    <s v="Ingrid Viviana Garzón"/>
    <s v="Asesora Dirección general"/>
    <n v="6012220601"/>
    <s v="ingrid.garzon@upme.gov.co"/>
    <m/>
    <m/>
    <m/>
    <m/>
    <m/>
    <m/>
    <m/>
    <m/>
    <m/>
    <m/>
    <m/>
    <m/>
    <m/>
    <m/>
    <m/>
    <m/>
    <m/>
    <m/>
    <n v="17333333"/>
    <m/>
    <m/>
    <n v="4333333"/>
    <m/>
    <n v="13000000"/>
  </r>
  <r>
    <x v="0"/>
    <x v="9"/>
    <s v="Territorial"/>
    <s v="Si"/>
    <n v="16"/>
    <s v="100-6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43233501"/>
    <s v="C-2106-1900-10-53105E-2106022-02"/>
    <s v="Software-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n v="24959146"/>
    <m/>
    <m/>
  </r>
  <r>
    <x v="0"/>
    <x v="9"/>
    <s v="Territorial"/>
    <s v="Si"/>
    <n v="32"/>
    <s v="100-6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m/>
    <m/>
    <n v="25466000"/>
    <m/>
    <m/>
    <m/>
    <m/>
    <n v="25466000"/>
  </r>
  <r>
    <x v="0"/>
    <x v="9"/>
    <s v="Territorial"/>
    <s v="Si"/>
    <n v="31"/>
    <s v="100-6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9130000"/>
    <m/>
    <n v="9130000"/>
    <m/>
    <n v="14110000"/>
  </r>
  <r>
    <x v="0"/>
    <x v="9"/>
    <s v="Territorial"/>
    <s v="Si"/>
    <n v="38"/>
    <s v="100-6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60053700"/>
    <n v="60053700"/>
    <s v="No"/>
    <s v="N/A"/>
    <s v="Mateo Severino Rodriguez"/>
    <m/>
    <n v="6012220601"/>
    <s v="mateo.severino@upme.gov.co"/>
    <m/>
    <m/>
    <m/>
    <m/>
    <m/>
    <m/>
    <m/>
    <m/>
    <m/>
    <m/>
    <m/>
    <m/>
    <m/>
    <m/>
    <n v="60053700"/>
    <m/>
    <m/>
    <n v="2267825"/>
    <m/>
    <n v="13606950"/>
    <m/>
    <n v="13606950"/>
    <m/>
    <n v="27213900"/>
  </r>
  <r>
    <x v="0"/>
    <x v="9"/>
    <s v="Territorial"/>
    <s v="Si"/>
    <n v="42"/>
    <s v="100-6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8000000"/>
    <n v="28000000"/>
    <s v="No"/>
    <s v="N/A"/>
    <s v="Mateo Severino Rodriguez"/>
    <m/>
    <n v="6012220601"/>
    <s v="mateo.severino@upme.gov.co"/>
    <m/>
    <m/>
    <m/>
    <m/>
    <m/>
    <m/>
    <m/>
    <m/>
    <m/>
    <m/>
    <m/>
    <m/>
    <m/>
    <m/>
    <m/>
    <m/>
    <m/>
    <m/>
    <n v="28000000"/>
    <m/>
    <m/>
    <n v="9333333"/>
    <m/>
    <n v="18666667"/>
  </r>
  <r>
    <x v="0"/>
    <x v="9"/>
    <s v="Territorial"/>
    <s v="Si"/>
    <n v="46"/>
    <s v="100-6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r>
  <r>
    <x v="0"/>
    <x v="9"/>
    <s v="Territorial"/>
    <s v="Si"/>
    <n v="46"/>
    <s v="100-66"/>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r>
  <r>
    <x v="0"/>
    <x v="9"/>
    <s v="Territorial"/>
    <s v="Si"/>
    <n v="46"/>
    <s v="100-67"/>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176666"/>
    <n v="4176666"/>
    <s v="No"/>
    <s v="N/A"/>
    <s v="Sandra Caballero"/>
    <s v="Asesora Dirección general"/>
    <n v="6012220601"/>
    <s v="sandra.caballero@upme.gov.co"/>
    <m/>
    <m/>
    <m/>
    <m/>
    <m/>
    <m/>
    <m/>
    <m/>
    <m/>
    <m/>
    <m/>
    <m/>
    <m/>
    <m/>
    <m/>
    <m/>
    <m/>
    <m/>
    <n v="4176666"/>
    <m/>
    <m/>
    <m/>
    <m/>
    <n v="4176666"/>
  </r>
  <r>
    <x v="0"/>
    <x v="9"/>
    <s v="Territorial"/>
    <s v="Si"/>
    <n v="46"/>
    <s v="100-6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r>
  <r>
    <x v="0"/>
    <x v="9"/>
    <s v="Territorial"/>
    <s v="Si"/>
    <n v="46"/>
    <s v="100-6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19567618"/>
    <n v="19567618"/>
    <s v="No"/>
    <s v="N/A"/>
    <s v="Sandra Caballero"/>
    <s v="Asesora Dirección general"/>
    <n v="6012220601"/>
    <s v="sandra.caballero@upme.gov.co"/>
    <m/>
    <m/>
    <m/>
    <m/>
    <m/>
    <m/>
    <m/>
    <m/>
    <m/>
    <m/>
    <m/>
    <m/>
    <m/>
    <m/>
    <m/>
    <m/>
    <m/>
    <m/>
    <n v="17333333"/>
    <m/>
    <m/>
    <n v="4333333"/>
    <m/>
    <n v="13000000"/>
  </r>
  <r>
    <x v="0"/>
    <x v="9"/>
    <s v="Territorial"/>
    <s v="Si"/>
    <n v="46"/>
    <s v="100-7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10800000"/>
    <n v="10800000"/>
    <s v="No"/>
    <s v="N/A"/>
    <s v="Sandra Caballero"/>
    <s v="Asesora Dirección general"/>
    <n v="6012220601"/>
    <s v="sandra.caballero@upme.gov.co"/>
    <m/>
    <m/>
    <m/>
    <m/>
    <m/>
    <m/>
    <m/>
    <m/>
    <m/>
    <m/>
    <m/>
    <m/>
    <m/>
    <m/>
    <m/>
    <m/>
    <m/>
    <m/>
    <n v="10800000"/>
    <m/>
    <m/>
    <n v="3600000"/>
    <m/>
    <n v="7200000"/>
  </r>
  <r>
    <x v="0"/>
    <x v="9"/>
    <s v="Territorial"/>
    <s v="Si"/>
    <n v="46"/>
    <s v="100-71"/>
    <s v="1 - Incluir el uso de las particularidades propias de cada territorio en la planeación minero energética."/>
    <s v="2 - DOCUMENTOS METODOLÓGICOS"/>
    <s v="Identificar e incorporar variables sociales, ambientales y territoriales en los documentos de planeación minero energética"/>
    <n v="80141607"/>
    <s v="C-2106-1900-10-53105E-2106005-02"/>
    <s v="Operador logístico"/>
    <s v="100-71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1"/>
    <s v="Meses"/>
    <s v="Contratación directa "/>
    <s v="Propios - 20 - Ingresos corrientes"/>
    <n v="22569838"/>
    <n v="22569838"/>
    <s v="No"/>
    <s v="N/A"/>
    <s v="Sandra Caballero"/>
    <s v="Asesora Dirección general"/>
    <n v="6012220601"/>
    <s v="sandra.caballero@upme.gov.co"/>
    <m/>
    <m/>
    <m/>
    <m/>
    <m/>
    <m/>
    <m/>
    <m/>
    <m/>
    <m/>
    <m/>
    <m/>
    <m/>
    <m/>
    <m/>
    <m/>
    <m/>
    <m/>
    <n v="22569838"/>
    <m/>
    <m/>
    <m/>
    <m/>
    <n v="22569838"/>
  </r>
  <r>
    <x v="0"/>
    <x v="9"/>
    <s v="Territorial"/>
    <s v="Si"/>
    <n v="46"/>
    <s v="100-7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n v="5333333"/>
    <m/>
    <m/>
    <m/>
    <m/>
    <n v="5333333"/>
  </r>
  <r>
    <x v="1"/>
    <x v="0"/>
    <s v="N.A"/>
    <s v="Si"/>
    <n v="32"/>
    <s v="111-1"/>
    <s v="N.A"/>
    <s v="N.A"/>
    <s v="N.A"/>
    <n v="72151514"/>
    <s v="A-02-02-02-008-007"/>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n v="2538666"/>
    <m/>
    <n v="2538666"/>
    <m/>
    <n v="5077336"/>
  </r>
  <r>
    <x v="1"/>
    <x v="0"/>
    <s v="N.A"/>
    <s v="Si"/>
    <n v="24"/>
    <s v="111-2"/>
    <s v="N.A"/>
    <s v="N.A"/>
    <s v="N.A"/>
    <n v="41111970"/>
    <s v="A-02-02-02-008-007"/>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n v="821219"/>
    <m/>
    <m/>
    <m/>
    <n v="821219"/>
  </r>
  <r>
    <x v="1"/>
    <x v="0"/>
    <s v="N.A"/>
    <s v="Si"/>
    <s v="75 (30/12/2024)"/>
    <s v="111-3"/>
    <s v="N.A"/>
    <s v="N.A"/>
    <s v="N.A"/>
    <n v="72101511"/>
    <s v="A-02-02-02-008-007"/>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r>
  <r>
    <x v="1"/>
    <x v="0"/>
    <s v="N.A"/>
    <s v="Si"/>
    <s v="75 (30/12/2024)"/>
    <s v="111-4"/>
    <s v="N.A"/>
    <s v="N.A"/>
    <s v="N.A"/>
    <n v="72101509"/>
    <s v="A-02-02-02-008-007"/>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r>
  <r>
    <x v="1"/>
    <x v="0"/>
    <s v="N.A"/>
    <s v="Si"/>
    <s v="75 (30/12/2024)"/>
    <s v="111-5"/>
    <s v="N.A"/>
    <s v="N.A"/>
    <s v="N.A"/>
    <n v="78181507"/>
    <s v="A-02-02-02-008-007"/>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n v="386250"/>
    <m/>
    <n v="386250"/>
    <m/>
    <n v="386250"/>
  </r>
  <r>
    <x v="1"/>
    <x v="0"/>
    <s v="N.A"/>
    <s v="Si"/>
    <n v="30"/>
    <s v="111-6"/>
    <s v="N.A"/>
    <s v="N.A"/>
    <s v="N.A"/>
    <n v="78181507"/>
    <s v="A-02-02-02-008-007"/>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r>
  <r>
    <x v="1"/>
    <x v="0"/>
    <s v="N.A"/>
    <s v="Si"/>
    <s v="75 (30/12/2024)"/>
    <s v="111-7"/>
    <s v="N.A"/>
    <s v="N.A"/>
    <s v="N.A"/>
    <n v="46191601"/>
    <s v="A-02-02-02-008-007"/>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r>
  <r>
    <x v="1"/>
    <x v="0"/>
    <s v="N.A"/>
    <s v="Si"/>
    <n v="27"/>
    <s v="111-8"/>
    <s v="N.A"/>
    <s v="N.A"/>
    <s v="N.A"/>
    <s v="44103125;81101707"/>
    <s v="A-02-02-02-008-007"/>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n v="933300"/>
    <m/>
    <n v="933300"/>
    <m/>
    <n v="1866600"/>
  </r>
  <r>
    <x v="1"/>
    <x v="0"/>
    <s v="N.A"/>
    <s v="Si"/>
    <s v="75 (30/12/2024)"/>
    <s v="111-9"/>
    <s v="N.A"/>
    <s v="N.A"/>
    <s v="N.A"/>
    <n v="72151704"/>
    <s v="A-02-02-02-008-007"/>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r>
  <r>
    <x v="1"/>
    <x v="0"/>
    <s v="N.A"/>
    <s v="Si"/>
    <s v="75 (30/12/2024)"/>
    <s v="111-10"/>
    <s v="N.A"/>
    <s v="N.A"/>
    <s v="N.A"/>
    <n v="72102900"/>
    <s v="A-02-02-02-008-007"/>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n v="27250000"/>
    <m/>
    <m/>
    <m/>
    <m/>
  </r>
  <r>
    <x v="1"/>
    <x v="0"/>
    <s v="N.A"/>
    <s v="Si"/>
    <s v="75 (30/12/2024)"/>
    <s v="111-11"/>
    <s v="N.A"/>
    <s v="N.A"/>
    <s v="N.A"/>
    <n v="44103100"/>
    <s v="A-02-02-01-003-002"/>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m/>
    <m/>
    <m/>
    <m/>
    <m/>
    <m/>
    <m/>
  </r>
  <r>
    <x v="1"/>
    <x v="0"/>
    <s v="N.A"/>
    <s v="Si"/>
    <s v="75 (30/12/2024)"/>
    <s v="111-12"/>
    <s v="N.A"/>
    <s v="N.A"/>
    <s v="N.A"/>
    <n v="80131500"/>
    <s v="A-02-02-02-009-007"/>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n v="10487273"/>
    <m/>
    <n v="10487273"/>
    <m/>
    <n v="10487270"/>
  </r>
  <r>
    <x v="1"/>
    <x v="0"/>
    <s v="N.A"/>
    <s v="Si"/>
    <n v="32"/>
    <s v="111-13"/>
    <s v="N.A"/>
    <s v="N.A"/>
    <s v="N.A"/>
    <s v="78102203;78102206"/>
    <s v="A-02-02-02-006-008"/>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n v="2975450"/>
    <m/>
    <n v="2975450"/>
    <m/>
    <n v="5950900"/>
  </r>
  <r>
    <x v="1"/>
    <x v="0"/>
    <s v="N.A"/>
    <s v="Si"/>
    <s v="75 (30/12/2024)"/>
    <s v="111-14"/>
    <s v="N.A"/>
    <s v="N.A"/>
    <s v="N.A"/>
    <n v="55101519"/>
    <s v="A-02-02-02-008-009"/>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n v="2000000"/>
    <m/>
    <n v="2000000"/>
    <m/>
    <n v="2000000"/>
  </r>
  <r>
    <x v="1"/>
    <x v="0"/>
    <s v="N.A"/>
    <s v="Si"/>
    <n v="32"/>
    <s v="111-15"/>
    <s v="N.A"/>
    <s v="N.A"/>
    <s v="N.A"/>
    <n v="90101604"/>
    <s v="A-02-02-02-006-003"/>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n v="2000000"/>
    <m/>
    <n v="2000000"/>
    <m/>
    <n v="2000000"/>
  </r>
  <r>
    <x v="1"/>
    <x v="0"/>
    <s v="N.A"/>
    <s v="Si"/>
    <s v="75 (30/12/2024)"/>
    <s v="111-16"/>
    <s v="N.A"/>
    <s v="N.A"/>
    <s v="N.A"/>
    <s v="84131607;84131500"/>
    <s v="A-02-02-02-007-001"/>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r>
  <r>
    <x v="1"/>
    <x v="0"/>
    <s v="N.A"/>
    <s v="Si"/>
    <s v="75 (30/12/2024)"/>
    <s v="111-17"/>
    <s v="N.A"/>
    <s v="N.A"/>
    <s v="N.A"/>
    <s v="84131501;84131607;84131514;84131500;84131603"/>
    <s v="A-02-02-02-007-001"/>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r>
  <r>
    <x v="1"/>
    <x v="0"/>
    <s v="N.A"/>
    <s v="Si"/>
    <n v="30"/>
    <s v="111-18"/>
    <s v="N.A"/>
    <s v="N.A"/>
    <s v="N.A"/>
    <s v="84131607;84131500"/>
    <s v="A-02-02-02-007-001"/>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r>
  <r>
    <x v="1"/>
    <x v="0"/>
    <s v="N.A"/>
    <s v="Si"/>
    <s v="75 (30/12/2024)"/>
    <s v="111-19"/>
    <s v="N.A"/>
    <s v="N.A"/>
    <s v="N.A"/>
    <n v="15101506"/>
    <s v="A-02-02-01-003-003"/>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n v="1272727"/>
    <m/>
    <n v="1272727"/>
    <m/>
    <n v="1272730"/>
  </r>
  <r>
    <x v="1"/>
    <x v="0"/>
    <s v="N.A"/>
    <s v="Si"/>
    <s v="75 (30/12/2024)"/>
    <s v="111-20"/>
    <s v="N.A"/>
    <s v="N.A"/>
    <s v="N.A"/>
    <n v="80111707"/>
    <s v="A-02-02-01-002-008"/>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r>
  <r>
    <x v="1"/>
    <x v="0"/>
    <s v="N.A"/>
    <s v="Si"/>
    <n v="47"/>
    <s v="111-21"/>
    <s v="N.A"/>
    <s v="N.A"/>
    <s v="N.A"/>
    <n v="45101515"/>
    <s v="A-02-01-01-004-005"/>
    <s v="Adquisición de bienes y/o servicios (otros)"/>
    <s v="111-21 Adquisición de Activos Fijos"/>
    <s v="Abril"/>
    <s v="Abril"/>
    <s v="Abril"/>
    <n v="8"/>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r>
  <r>
    <x v="1"/>
    <x v="0"/>
    <s v="N.A"/>
    <s v="Si"/>
    <n v="19"/>
    <s v="111-22"/>
    <s v="N.A"/>
    <s v="N.A"/>
    <s v="N.A"/>
    <n v="81112501"/>
    <s v="A-02-02-02-008-00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r>
  <r>
    <x v="1"/>
    <x v="0"/>
    <s v="N.A"/>
    <s v="Si"/>
    <s v="75 (30/12/2024)"/>
    <s v="111-23"/>
    <s v="N.A"/>
    <s v="N.A"/>
    <s v="N.A"/>
    <n v="44121600"/>
    <s v="A-02-02-01-003-002"/>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r>
  <r>
    <x v="1"/>
    <x v="0"/>
    <s v="N.A"/>
    <s v="Si"/>
    <s v="75 (30/12/2024)"/>
    <s v="111-24"/>
    <s v="N.A"/>
    <s v="N.A"/>
    <s v="N.A"/>
    <n v="85101503"/>
    <s v="A-02-02-02-009-003"/>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r>
  <r>
    <x v="1"/>
    <x v="0"/>
    <s v="N.A"/>
    <s v="Si"/>
    <s v="75 (30/12/2024)"/>
    <s v="111-25"/>
    <s v="N.A"/>
    <s v="N.A"/>
    <s v="N.A"/>
    <n v="85122201"/>
    <s v="A-02-02-02-009-003"/>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n v="1600000"/>
    <m/>
    <n v="1600000"/>
    <m/>
    <n v="1007488"/>
  </r>
  <r>
    <x v="1"/>
    <x v="0"/>
    <s v="N.A"/>
    <s v="Si"/>
    <n v="12"/>
    <s v="111-26"/>
    <s v="N.A"/>
    <s v="N.A"/>
    <s v="N.A"/>
    <n v="93141506"/>
    <s v="A-02-02-02-009-00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n v="8550000"/>
    <m/>
    <n v="8550000"/>
    <m/>
    <n v="105200000"/>
  </r>
  <r>
    <x v="1"/>
    <x v="0"/>
    <s v="N.A"/>
    <s v="Si"/>
    <s v="75 (30/12/2024)"/>
    <s v="111-27"/>
    <s v="N.A"/>
    <s v="N.A"/>
    <s v="N.A"/>
    <n v="42172001"/>
    <s v="A-02-02-01-003-005"/>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n v="1463000"/>
    <m/>
    <n v="1463000"/>
    <m/>
    <m/>
  </r>
  <r>
    <x v="1"/>
    <x v="0"/>
    <s v="N.A"/>
    <s v="Si"/>
    <n v="18"/>
    <s v="111-28"/>
    <s v="N.A"/>
    <s v="N.A"/>
    <s v="N.A"/>
    <n v="80111620"/>
    <s v="A-02-02-02-008-003"/>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r>
  <r>
    <x v="1"/>
    <x v="0"/>
    <s v="N.A"/>
    <s v="Si"/>
    <s v="75 (30/12/2024)"/>
    <s v="111-29"/>
    <s v="N.A"/>
    <s v="N.A"/>
    <s v="N.A"/>
    <n v="80111620"/>
    <s v="A-02-02-02-008-003"/>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5525040"/>
    <n v="85525040"/>
    <s v="No"/>
    <s v="N/A"/>
    <s v="Hollman Corredor"/>
    <s v="Coordinador GIT Gestión Financiera"/>
    <n v="6012220601"/>
    <s v="hollman.corredor@upme.gov.co"/>
    <n v="73668000"/>
    <m/>
    <m/>
    <m/>
    <m/>
    <m/>
    <m/>
    <m/>
    <m/>
    <m/>
    <m/>
    <m/>
    <m/>
    <m/>
    <m/>
    <m/>
    <m/>
    <m/>
    <m/>
    <n v="7436960"/>
    <m/>
    <n v="7436960"/>
    <m/>
    <n v="14873860"/>
  </r>
  <r>
    <x v="1"/>
    <x v="0"/>
    <s v="N.A"/>
    <s v="Si"/>
    <s v="75 (30/12/2024)"/>
    <s v="111-30"/>
    <s v="N.A"/>
    <s v="N.A"/>
    <s v="N.A"/>
    <n v="80111620"/>
    <s v="A-02-02-02-008-003"/>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n v="8000000"/>
    <m/>
    <n v="8000000"/>
    <m/>
    <n v="16000000"/>
  </r>
  <r>
    <x v="1"/>
    <x v="0"/>
    <s v="N.A"/>
    <s v="Si"/>
    <s v="75 (30/12/2024)"/>
    <s v="111-31"/>
    <s v="N.A"/>
    <s v="N.A"/>
    <s v="N.A"/>
    <n v="85101508"/>
    <s v="A-02-02-02-009-003"/>
    <s v="Adquisición de bienes y/o servicios (otros)"/>
    <s v="111-31 Prestar los servicios profesionales de Servicio de Área Protegida (SAP) para todas las personas que se encuentren en las instalaciones de la Unidad de Planeación Minero Energética en el caso de presentarse una emergencia y/o urgencia como parte del"/>
    <s v="Julio"/>
    <s v="Julio"/>
    <s v="Agosto"/>
    <n v="4"/>
    <s v="Meses"/>
    <s v="Contratación directa - Contratos menor cuantía"/>
    <s v="Propios - 20 - Ingresos corrientes"/>
    <n v="6210000"/>
    <n v="6210000"/>
    <s v="No"/>
    <s v="N/A"/>
    <s v="Liliana Castillo"/>
    <s v="Coordinadora GIT Gestión del Talento Humano"/>
    <n v="6012220601"/>
    <s v="liliana.castillo@upme.gov.co"/>
    <m/>
    <m/>
    <m/>
    <m/>
    <m/>
    <m/>
    <m/>
    <m/>
    <m/>
    <m/>
    <m/>
    <m/>
    <m/>
    <m/>
    <m/>
    <m/>
    <m/>
    <m/>
    <m/>
    <n v="1552500"/>
    <m/>
    <n v="1552500"/>
    <m/>
    <n v="1552500"/>
  </r>
  <r>
    <x v="1"/>
    <x v="0"/>
    <s v="N.A"/>
    <s v="Si"/>
    <s v="75 (30/12/2024)"/>
    <s v="111-32"/>
    <s v="N.A"/>
    <s v="N.A"/>
    <s v="N.A"/>
    <n v="80111620"/>
    <s v="A-02-02-02-008-003"/>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r>
  <r>
    <x v="1"/>
    <x v="0"/>
    <s v="N.A"/>
    <s v="Si"/>
    <n v="18"/>
    <s v="111-33"/>
    <s v="N.A"/>
    <s v="N.A"/>
    <s v="N.A"/>
    <n v="80111620"/>
    <s v="A-02-02-02-008-003"/>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n v="8017840"/>
    <m/>
    <n v="8017840"/>
    <m/>
    <n v="16035680"/>
  </r>
  <r>
    <x v="1"/>
    <x v="0"/>
    <s v="N.A"/>
    <s v="Si"/>
    <n v="18"/>
    <s v="111-34"/>
    <s v="N.A"/>
    <s v="N.A"/>
    <s v="N.A"/>
    <n v="72121103"/>
    <s v="A-02-02-02-005-004"/>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r>
  <r>
    <x v="1"/>
    <x v="0"/>
    <s v="N.A"/>
    <s v="Si"/>
    <s v="75 (30/12/2024)"/>
    <s v="111-35"/>
    <s v="N.A"/>
    <s v="N.A"/>
    <s v="N.A"/>
    <n v="80131500"/>
    <s v="A-02-02-02-009-007"/>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n v="7000000"/>
    <m/>
    <n v="7000000"/>
    <m/>
    <n v="7000000"/>
  </r>
  <r>
    <x v="1"/>
    <x v="0"/>
    <s v="N.A"/>
    <s v="Si"/>
    <n v="18"/>
    <s v="111-36"/>
    <s v="N.A"/>
    <s v="N.A"/>
    <s v="N.A"/>
    <n v="80111620"/>
    <s v="A-02-02-02-008-003"/>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n v="9000000"/>
    <m/>
    <n v="9000000"/>
    <m/>
    <n v="18000000"/>
  </r>
  <r>
    <x v="1"/>
    <x v="0"/>
    <s v="N.A"/>
    <s v="Si"/>
    <n v="6"/>
    <s v="111-37"/>
    <s v="N.A"/>
    <s v="N.A"/>
    <s v="N.A"/>
    <n v="80111620"/>
    <s v="A-02-02-02-009-002"/>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r>
  <r>
    <x v="1"/>
    <x v="0"/>
    <s v="N.A"/>
    <s v="Si"/>
    <n v="35"/>
    <s v="111-38"/>
    <s v="N.A"/>
    <s v="N.A"/>
    <s v="N.A"/>
    <n v="80111620"/>
    <s v="A-02-02-02-009-002"/>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r>
  <r>
    <x v="1"/>
    <x v="0"/>
    <s v="N.A"/>
    <s v="Si"/>
    <n v="6"/>
    <s v="111-39"/>
    <s v="N.A"/>
    <s v="N.A"/>
    <s v="N.A"/>
    <n v="80111620"/>
    <s v="A-02-02-02-009-002"/>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n v="22756913"/>
    <m/>
    <m/>
  </r>
  <r>
    <x v="1"/>
    <x v="0"/>
    <s v="N.A"/>
    <s v="Si"/>
    <n v="32"/>
    <s v="111-40"/>
    <s v="N.A"/>
    <s v="N.A"/>
    <s v="N.A"/>
    <n v="80111620"/>
    <s v="A-05-01-02-008-003 SERVICIOS PROFESIONALES, CIENTÍFICOS Y TÉCNICOS"/>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r>
  <r>
    <x v="1"/>
    <x v="0"/>
    <s v="N.A"/>
    <s v="Si"/>
    <n v="47"/>
    <s v="111-41"/>
    <s v="N.A"/>
    <s v="N.A"/>
    <s v="N.A"/>
    <n v="81112501"/>
    <s v="A-02-02-02-008-004"/>
    <s v="Adquisición de bienes y/o servicios (otros)"/>
    <s v="111-41 Contratar el servicio de enlace dedicado a internet para la UPME"/>
    <s v="Abril"/>
    <s v="Abril"/>
    <s v="Abril"/>
    <n v="7"/>
    <s v="Meses"/>
    <s v="Contratación directa"/>
    <s v="Propios - 20 - Ingresos corrientes"/>
    <n v="12016849"/>
    <n v="12016849"/>
    <s v="No"/>
    <s v="N/A"/>
    <s v="Nicolas Mejía"/>
    <s v="Coordinador GIT Gestion Administrativa"/>
    <n v="6012220601"/>
    <s v="oscar.mejia@upme.gov.co"/>
    <m/>
    <m/>
    <m/>
    <m/>
    <m/>
    <m/>
    <m/>
    <m/>
    <m/>
    <m/>
    <m/>
    <m/>
    <m/>
    <m/>
    <m/>
    <m/>
    <m/>
    <m/>
    <m/>
    <n v="1759410"/>
    <m/>
    <n v="1759410"/>
    <m/>
    <n v="1759413"/>
  </r>
  <r>
    <x v="1"/>
    <x v="0"/>
    <s v="N.A"/>
    <s v="Si"/>
    <n v="30"/>
    <s v="111-42"/>
    <s v="N.A"/>
    <s v="N.A"/>
    <s v="N.A"/>
    <n v="80111600"/>
    <s v="A-02-02-02-008-003"/>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n v="6226500"/>
    <m/>
    <n v="6226500"/>
    <m/>
    <n v="12453000"/>
  </r>
  <r>
    <x v="1"/>
    <x v="0"/>
    <s v="N.A"/>
    <s v="Si"/>
    <n v="32"/>
    <s v="111-43"/>
    <s v="N.A"/>
    <s v="N.A"/>
    <s v="N.A"/>
    <n v="80111620"/>
    <s v="A-02-02-02-008-003"/>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n v="3996300"/>
    <m/>
    <n v="3996300"/>
    <m/>
    <n v="7992600"/>
  </r>
  <r>
    <x v="1"/>
    <x v="0"/>
    <s v="N.A"/>
    <s v="Si"/>
    <n v="32"/>
    <s v="111-44"/>
    <s v="N.A"/>
    <s v="N.A"/>
    <s v="N.A"/>
    <n v="80111620"/>
    <s v="A-02-02-02-008-003"/>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n v="3996300"/>
    <m/>
    <n v="3996300"/>
    <m/>
    <n v="7992600"/>
  </r>
  <r>
    <x v="1"/>
    <x v="0"/>
    <s v="N.A"/>
    <s v="Si"/>
    <n v="32"/>
    <s v="111-45"/>
    <s v="N.A"/>
    <s v="N.A"/>
    <s v="N.A"/>
    <n v="80111620"/>
    <s v="A-02-02-02-008-003"/>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n v="6226500"/>
    <m/>
    <n v="6226500"/>
    <m/>
    <n v="12453000"/>
  </r>
  <r>
    <x v="1"/>
    <x v="0"/>
    <s v="N.A"/>
    <s v="Si"/>
    <n v="37"/>
    <s v="111-46"/>
    <s v="N.A"/>
    <s v="N.A"/>
    <s v="N.A"/>
    <n v="80111620"/>
    <s v="A-02-02-02-008-003"/>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r>
  <r>
    <x v="1"/>
    <x v="0"/>
    <s v="N.A"/>
    <s v="Si"/>
    <n v="33"/>
    <s v="111-47"/>
    <s v="N.A"/>
    <s v="N.A"/>
    <s v="N.A"/>
    <n v="80111620"/>
    <s v="A-02-02-02-008-00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r>
  <r>
    <x v="1"/>
    <x v="0"/>
    <s v="N.A"/>
    <s v="Si"/>
    <n v="35"/>
    <s v="111-48"/>
    <s v="N.A"/>
    <s v="N.A"/>
    <s v="N.A"/>
    <n v="80111620"/>
    <s v="A-02-02-02-008-003"/>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r>
  <r>
    <x v="1"/>
    <x v="0"/>
    <s v="N.A"/>
    <s v="Si"/>
    <n v="35"/>
    <s v="111-49"/>
    <s v="N.A"/>
    <s v="N.A"/>
    <s v="N.A"/>
    <n v="80111620"/>
    <s v="A-02-02-02-008-003"/>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r>
  <r>
    <x v="1"/>
    <x v="0"/>
    <s v="N.A"/>
    <s v="Si"/>
    <n v="43"/>
    <s v="111-50"/>
    <s v="N.A"/>
    <s v="N.A"/>
    <s v="N.A"/>
    <n v="80111620"/>
    <s v="A-02-02-02-008-003"/>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r>
  <r>
    <x v="1"/>
    <x v="0"/>
    <s v="N.A"/>
    <s v="Si"/>
    <n v="37"/>
    <s v="111-51"/>
    <s v="N.A"/>
    <s v="N.A"/>
    <s v="N.A"/>
    <n v="80111620"/>
    <s v="A-02-02-02-008-003"/>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16422250"/>
    <n v="16422250"/>
    <s v="No"/>
    <s v="N/A"/>
    <s v="Nicolas Mejía"/>
    <s v="Coordinador GIT Gestion Administrativa"/>
    <n v="6012220601"/>
    <s v="oscar.mejia@upme.gov.co"/>
    <m/>
    <m/>
    <m/>
    <m/>
    <m/>
    <m/>
    <m/>
    <m/>
    <m/>
    <m/>
    <m/>
    <m/>
    <m/>
    <m/>
    <m/>
    <m/>
    <m/>
    <m/>
    <m/>
    <m/>
    <m/>
    <m/>
    <m/>
    <m/>
  </r>
  <r>
    <x v="1"/>
    <x v="0"/>
    <s v="N.A"/>
    <s v="Si"/>
    <n v="44"/>
    <s v="111-52"/>
    <s v="N.A"/>
    <s v="N.A"/>
    <s v="N.A"/>
    <n v="80111620"/>
    <s v="A-02-02-02-008-003"/>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r>
  <r>
    <x v="1"/>
    <x v="0"/>
    <s v="N.A"/>
    <s v="Si"/>
    <n v="44"/>
    <s v="111-53"/>
    <s v="N.A"/>
    <s v="N.A"/>
    <s v="N.A"/>
    <n v="80101126"/>
    <s v="A-02-02-02-008-003"/>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r>
  <r>
    <x v="1"/>
    <x v="0"/>
    <s v="N.A"/>
    <s v="Si"/>
    <n v="44"/>
    <s v="111-54"/>
    <s v="N.A"/>
    <s v="N.A"/>
    <s v="N.A"/>
    <n v="80101126"/>
    <s v="A-02-02-02-008-003"/>
    <s v="Prestación de servicios profesionales y/o de apoyo a la gestión"/>
    <s v="111-54 Prestar los servicios de apoyo a la gestión para el desarrollo de actividades enmarcadas en el cumplimiento del Plan de Bienestar y Seguridad y Salud en el trabajo."/>
    <s v="Septiembre"/>
    <s v="Septiembre"/>
    <s v="Septiembre"/>
    <n v="3.5"/>
    <s v="Meses"/>
    <s v="Contratación directa"/>
    <s v="Propios - 20 - Ingresos corrientes"/>
    <n v="6383475"/>
    <n v="6383475"/>
    <s v="No"/>
    <s v="N/A"/>
    <s v="Katherine Perez"/>
    <s v="Coordinador GIT Talento humano"/>
    <n v="6012220601"/>
    <s v="katherin.perez@upme.gov.co"/>
    <m/>
    <m/>
    <m/>
    <m/>
    <m/>
    <m/>
    <m/>
    <m/>
    <m/>
    <m/>
    <m/>
    <m/>
    <m/>
    <m/>
    <m/>
    <m/>
    <m/>
    <m/>
    <m/>
    <m/>
    <m/>
    <m/>
    <m/>
    <m/>
  </r>
  <r>
    <x v="1"/>
    <x v="0"/>
    <s v="N.A"/>
    <s v="Si"/>
    <n v="44"/>
    <s v="111-55"/>
    <s v="N.A"/>
    <s v="N.A"/>
    <s v="N.A"/>
    <n v="80111620"/>
    <s v="A-02-02-02-008-003"/>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r>
  <r>
    <x v="1"/>
    <x v="8"/>
    <s v="N.A"/>
    <s v="Si"/>
    <s v="75 (30/12/2024)"/>
    <s v="161-1"/>
    <s v="N.A"/>
    <s v="N.A"/>
    <s v="N.A"/>
    <n v="80111620"/>
    <s v="A-05-01-02-008-003 SERVICIOS PROFESIONALES, CIENTÍFICOS Y TÉCNICOS"/>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n v="7942200"/>
    <m/>
    <n v="7942200"/>
    <m/>
    <n v="15884400"/>
  </r>
  <r>
    <x v="1"/>
    <x v="8"/>
    <s v="N.A"/>
    <s v="Si"/>
    <s v="75 (30/12/2024)"/>
    <s v="161-2"/>
    <s v="N.A"/>
    <s v="N.A"/>
    <s v="N.A"/>
    <n v="80111620"/>
    <s v="A-05-01-02-008-003 SERVICIOS PROFESIONALES, CIENTÍFICOS Y TÉCNICOS"/>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n v="7942200"/>
    <m/>
    <n v="7942200"/>
    <m/>
    <n v="15884400"/>
  </r>
  <r>
    <x v="1"/>
    <x v="8"/>
    <s v="N.A"/>
    <s v="Si"/>
    <s v="75 (30/12/2024)"/>
    <s v="161-3"/>
    <s v="N.A"/>
    <s v="N.A"/>
    <s v="N.A"/>
    <n v="80111620"/>
    <s v="A-05-01-02-008-003 SERVICIOS PROFESIONALES, CIENTÍFICOS Y TÉCNICOS"/>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n v="6226500"/>
    <m/>
    <n v="6226500"/>
    <m/>
    <n v="12453000"/>
  </r>
  <r>
    <x v="1"/>
    <x v="8"/>
    <s v="N.A"/>
    <s v="Si"/>
    <s v="75 (30/12/2024)"/>
    <s v="161-4"/>
    <s v="N.A"/>
    <s v="N.A"/>
    <s v="N.A"/>
    <n v="80111620"/>
    <s v="A-05-01-02-008-003 SERVICIOS PROFESIONALES, CIENTÍFICOS Y TÉCNICOS"/>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r>
  <r>
    <x v="1"/>
    <x v="8"/>
    <s v="N.A"/>
    <s v="Si"/>
    <s v="75 (30/12/2024)"/>
    <s v="161-5"/>
    <s v="N.A"/>
    <s v="N.A"/>
    <s v="N.A"/>
    <n v="80111620"/>
    <s v="A-05-01-02-008-003 SERVICIOS PROFESIONALES, CIENTÍFICOS Y TÉCNICOS"/>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4380600"/>
  </r>
  <r>
    <x v="1"/>
    <x v="8"/>
    <s v="N.A"/>
    <s v="Si"/>
    <s v="75 (30/12/2024)"/>
    <s v="161-6"/>
    <s v="N.A"/>
    <s v="N.A"/>
    <s v="N.A"/>
    <n v="80111620"/>
    <s v="A-05-01-02-008-003 SERVICIOS PROFESIONALES, CIENTÍFICOS Y TÉCNICOS"/>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6570900"/>
  </r>
  <r>
    <x v="1"/>
    <x v="8"/>
    <s v="N.A"/>
    <s v="Si"/>
    <n v="41"/>
    <s v="161-7"/>
    <s v="N.A"/>
    <s v="N.A"/>
    <s v="N.A"/>
    <n v="80111620"/>
    <s v="A-05-01-02-008-003 SERVICIOS PROFESIONALES, CIENTÍFICOS Y TÉCNICOS"/>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n v="3285450"/>
    <m/>
    <n v="3285450"/>
    <m/>
    <n v="4928175"/>
  </r>
  <r>
    <x v="1"/>
    <x v="8"/>
    <s v="N.A"/>
    <s v="Si"/>
    <s v="75 (30/12/2024)"/>
    <s v="161-8"/>
    <s v="N.A"/>
    <s v="N.A"/>
    <s v="N.A"/>
    <n v="80111620"/>
    <s v="A-05-01-02-008-003 SERVICIOS PROFESIONALES, CIENTÍFICOS Y TÉCNICOS"/>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6570900"/>
  </r>
  <r>
    <x v="1"/>
    <x v="8"/>
    <s v="N.A"/>
    <s v="Si"/>
    <n v="41"/>
    <s v="161-9"/>
    <s v="N.A"/>
    <s v="N.A"/>
    <s v="N.A"/>
    <n v="80111620"/>
    <s v="A-05-01-02-008-003 SERVICIOS PROFESIONALES, CIENTÍFICOS Y TÉCNICOS"/>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n v="3285450"/>
    <m/>
    <n v="3285450"/>
    <m/>
    <n v="6570900"/>
  </r>
  <r>
    <x v="1"/>
    <x v="8"/>
    <s v="N.A"/>
    <s v="Si"/>
    <s v="75 (30/12/2024)"/>
    <s v="161-10"/>
    <s v="N.A"/>
    <s v="N.A"/>
    <s v="N.A"/>
    <n v="80111620"/>
    <s v="A-05-01-02-008-003 SERVICIOS PROFESIONALES, CIENTÍFICOS Y TÉCNICOS"/>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n v="3285450"/>
    <m/>
    <n v="3285450"/>
    <m/>
    <n v="6570900"/>
  </r>
  <r>
    <x v="1"/>
    <x v="8"/>
    <s v="N.A"/>
    <s v="Si"/>
    <n v="41"/>
    <s v="161-11"/>
    <s v="N.A"/>
    <s v="N.A"/>
    <s v="N.A"/>
    <n v="80111620"/>
    <s v="A-05-01-02-008-003 SERVICIOS PROFESIONALES, CIENTÍFICOS Y TÉCNICOS"/>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n v="3285450"/>
    <m/>
    <n v="3285450"/>
    <m/>
    <n v="6570900"/>
  </r>
  <r>
    <x v="1"/>
    <x v="8"/>
    <s v="N.A"/>
    <s v="Si"/>
    <s v="75 (30/12/2024)"/>
    <s v="161-12"/>
    <s v="N.A"/>
    <s v="N.A"/>
    <s v="N.A"/>
    <n v="80111620"/>
    <s v="A-05-01-02-008-003 SERVICIOS PROFESIONALES, CIENTÍFICOS Y TÉCNICOS"/>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n v="3630900"/>
    <m/>
    <n v="3630900"/>
    <m/>
    <n v="7261800"/>
  </r>
  <r>
    <x v="1"/>
    <x v="8"/>
    <s v="N.A"/>
    <s v="Si"/>
    <s v="75 (30/12/2024)"/>
    <s v="161-13"/>
    <s v="N.A"/>
    <s v="N.A"/>
    <s v="N.A"/>
    <n v="80111620"/>
    <s v="A-05-01-02-008-003 SERVICIOS PROFESIONALES, CIENTÍFICOS Y TÉCNICOS"/>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n v="3630900"/>
    <m/>
    <n v="3630900"/>
    <m/>
    <n v="7261800"/>
  </r>
  <r>
    <x v="1"/>
    <x v="8"/>
    <s v="N.A"/>
    <s v="Si"/>
    <n v="26"/>
    <s v="161-14"/>
    <s v="N.A"/>
    <s v="N.A"/>
    <s v="N.A"/>
    <n v="80111620"/>
    <s v="A-05-01-02-008-003 SERVICIOS PROFESIONALES, CIENTÍFICOS Y TÉCNICOS"/>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n v="3285450"/>
    <m/>
    <n v="3285450"/>
    <m/>
    <n v="6823635"/>
  </r>
  <r>
    <x v="1"/>
    <x v="8"/>
    <s v="N.A"/>
    <s v="Si"/>
    <n v="26"/>
    <s v="161-15"/>
    <s v="N.A"/>
    <s v="N.A"/>
    <s v="N.A"/>
    <n v="80111620"/>
    <s v="A-05-01-02-008-003 SERVICIOS PROFESIONALES, CIENTÍFICOS Y TÉCNICOS"/>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n v="3285450"/>
    <m/>
    <n v="3285450"/>
    <m/>
    <n v="6570900"/>
  </r>
  <r>
    <x v="1"/>
    <x v="8"/>
    <s v="N.A"/>
    <s v="Si"/>
    <n v="26"/>
    <s v="161-16"/>
    <s v="N.A"/>
    <s v="N.A"/>
    <s v="N.A"/>
    <n v="80111620"/>
    <s v="A-05-01-02-008-003 SERVICIOS PROFESIONALES, CIENTÍFICOS Y TÉCNICOS"/>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n v="3285450"/>
    <m/>
    <n v="3285450"/>
    <m/>
    <n v="6570900"/>
  </r>
  <r>
    <x v="1"/>
    <x v="8"/>
    <s v="N.A"/>
    <s v="Si"/>
    <n v="42"/>
    <s v="161-17"/>
    <s v="N.A"/>
    <s v="N.A"/>
    <s v="N.A"/>
    <n v="80111620"/>
    <s v="A-05-01-02-008-003 SERVICIOS PROFESIONALES, CIENTÍFICOS Y TÉCNICOS"/>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n v="4374300"/>
    <m/>
    <n v="4374300"/>
    <m/>
    <n v="8748600"/>
  </r>
  <r>
    <x v="1"/>
    <x v="8"/>
    <s v="N.A"/>
    <s v="Si"/>
    <n v="41"/>
    <s v="161-18"/>
    <s v="N.A"/>
    <s v="N.A"/>
    <s v="N.A"/>
    <n v="80111620"/>
    <s v="A-05-01-02-008-003 SERVICIOS PROFESIONALES, CIENTÍFICOS Y TÉCNICOS"/>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n v="4374300"/>
    <m/>
    <n v="4374300"/>
    <m/>
    <n v="5832400"/>
  </r>
  <r>
    <x v="1"/>
    <x v="8"/>
    <s v="N.A"/>
    <s v="Si"/>
    <n v="42"/>
    <s v="161-19"/>
    <s v="N.A"/>
    <s v="N.A"/>
    <s v="N.A"/>
    <n v="80111620"/>
    <s v="A-05-01-02-008-003 SERVICIOS PROFESIONALES, CIENTÍFICOS Y TÉCNICOS"/>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n v="4374300"/>
    <m/>
    <n v="4374300"/>
    <m/>
    <n v="8748600"/>
  </r>
  <r>
    <x v="1"/>
    <x v="8"/>
    <s v="N.A"/>
    <s v="Si"/>
    <n v="42"/>
    <s v="161-20"/>
    <s v="N.A"/>
    <s v="N.A"/>
    <s v="N.A"/>
    <n v="80111620"/>
    <s v="A-05-01-02-008-003 SERVICIOS PROFESIONALES, CIENTÍFICOS Y TÉCNICOS"/>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n v="6663300"/>
    <m/>
    <n v="6663300"/>
    <m/>
    <n v="13326600"/>
  </r>
  <r>
    <x v="1"/>
    <x v="8"/>
    <s v="N.A"/>
    <s v="Si"/>
    <n v="42"/>
    <s v="161-21"/>
    <s v="N.A"/>
    <s v="N.A"/>
    <s v="N.A"/>
    <n v="80111620"/>
    <s v="A-05-01-02-008-003 SERVICIOS PROFESIONALES, CIENTÍFICOS Y TÉCNICOS"/>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n v="6663300"/>
    <m/>
    <n v="6663300"/>
    <m/>
    <n v="13326600"/>
  </r>
  <r>
    <x v="1"/>
    <x v="8"/>
    <s v="N.A"/>
    <s v="Si"/>
    <n v="42"/>
    <s v="161-22"/>
    <s v="N.A"/>
    <s v="N.A"/>
    <s v="N.A"/>
    <n v="80111620"/>
    <s v="A-05-01-02-008-003 SERVICIOS PROFESIONALES, CIENTÍFICOS Y TÉCNICOS"/>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034800"/>
    <m/>
    <m/>
    <m/>
    <m/>
    <m/>
    <m/>
    <m/>
    <m/>
    <m/>
    <m/>
    <m/>
    <m/>
    <m/>
    <m/>
    <m/>
    <m/>
    <m/>
    <m/>
    <n v="7366800"/>
    <m/>
    <n v="7366800"/>
    <m/>
    <n v="14733600"/>
  </r>
  <r>
    <x v="1"/>
    <x v="8"/>
    <s v="N.A"/>
    <s v="Si"/>
    <n v="42"/>
    <s v="161-23"/>
    <s v="N.A"/>
    <s v="N.A"/>
    <s v="N.A"/>
    <n v="80111620"/>
    <s v="A-05-01-02-008-003 SERVICIOS PROFESIONALES, CIENTÍFICOS Y TÉCNICOS"/>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n v="7366800"/>
    <m/>
    <n v="7366800"/>
    <m/>
    <n v="11050200"/>
  </r>
  <r>
    <x v="1"/>
    <x v="8"/>
    <s v="N.A"/>
    <s v="Si"/>
    <n v="26"/>
    <s v="161-24"/>
    <s v="N.A"/>
    <s v="N.A"/>
    <s v="N.A"/>
    <n v="80111620"/>
    <s v="A-05-01-02-008-003 SERVICIOS PROFESIONALES, CIENTÍFICOS Y TÉCNICOS"/>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n v="3285450"/>
    <m/>
    <n v="3285450"/>
    <m/>
    <n v="6570900"/>
  </r>
  <r>
    <x v="1"/>
    <x v="8"/>
    <s v="N.A"/>
    <s v="Si"/>
    <n v="26"/>
    <s v="161-25"/>
    <s v="N.A"/>
    <s v="N.A"/>
    <s v="N.A"/>
    <n v="80111620"/>
    <s v="A-05-01-02-008-003 SERVICIOS PROFESIONALES, CIENTÍFICOS Y TÉCNICOS"/>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31675140"/>
    <n v="31675140"/>
    <s v="No"/>
    <s v="N/A"/>
    <s v="Jessica Arias Gaviria"/>
    <s v="Subdirectora de Demanda"/>
    <n v="6012220601"/>
    <s v="jessica.arias@upme.gov.co"/>
    <m/>
    <m/>
    <m/>
    <m/>
    <m/>
    <m/>
    <m/>
    <m/>
    <m/>
    <m/>
    <m/>
    <m/>
    <m/>
    <m/>
    <m/>
    <m/>
    <m/>
    <m/>
    <m/>
    <n v="4590600"/>
    <m/>
    <n v="4590600"/>
    <m/>
    <n v="9181200"/>
  </r>
  <r>
    <x v="1"/>
    <x v="8"/>
    <s v="N.A"/>
    <s v="Si"/>
    <s v="75 (30/12/2024)"/>
    <s v="161-26"/>
    <s v="N.A"/>
    <s v="N.A"/>
    <s v="N.A"/>
    <n v="80111620"/>
    <s v="A-05-01-02-008-003 SERVICIOS PROFESIONALES, CIENTÍFICOS Y TÉCNICOS"/>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5150000"/>
    <n v="95150000"/>
    <s v="No"/>
    <s v="N/A"/>
    <s v="Jessica Arias Gaviria"/>
    <s v="Subdirectora de Demanda"/>
    <n v="6012220601"/>
    <s v="jessica.arias@upme.gov.co"/>
    <m/>
    <m/>
    <m/>
    <m/>
    <m/>
    <m/>
    <m/>
    <m/>
    <m/>
    <m/>
    <m/>
    <m/>
    <m/>
    <m/>
    <m/>
    <m/>
    <m/>
    <m/>
    <m/>
    <n v="8650000"/>
    <m/>
    <n v="8650000"/>
    <m/>
    <n v="17300000"/>
  </r>
  <r>
    <x v="1"/>
    <x v="8"/>
    <s v="N.A"/>
    <s v="Si"/>
    <n v="42"/>
    <s v="161-27"/>
    <s v="N.A"/>
    <s v="N.A"/>
    <s v="N.A"/>
    <n v="80111620"/>
    <s v="A-05-01-02-008-003 SERVICIOS PROFESIONALES, CIENTÍFICOS Y TÉCNICOS"/>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2475000"/>
    <n v="102475000"/>
    <s v="No"/>
    <s v="N/A"/>
    <s v="Jessica Arias Gaviria"/>
    <s v="Subdirectora de Demanda"/>
    <n v="6012220601"/>
    <s v="jessica.arias@upme.gov.co"/>
    <m/>
    <m/>
    <m/>
    <m/>
    <m/>
    <m/>
    <m/>
    <m/>
    <m/>
    <m/>
    <m/>
    <m/>
    <m/>
    <m/>
    <m/>
    <m/>
    <m/>
    <m/>
    <m/>
    <n v="8920000"/>
    <m/>
    <n v="8920000"/>
    <m/>
    <n v="16978000"/>
  </r>
  <r>
    <x v="1"/>
    <x v="8"/>
    <s v="N.A"/>
    <s v="Si"/>
    <n v="42"/>
    <s v="161-28"/>
    <s v="N.A"/>
    <s v="N.A"/>
    <s v="N.A"/>
    <n v="80111620"/>
    <s v="A-05-01-02-008-003 SERVICIOS PROFESIONALES, CIENTÍFICOS Y TÉCNICOS"/>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n v="8920000"/>
    <m/>
    <n v="8920000"/>
    <m/>
    <n v="11925000"/>
  </r>
  <r>
    <x v="1"/>
    <x v="8"/>
    <s v="N.A"/>
    <s v="Si"/>
    <s v="75 (30/12/2024)"/>
    <s v="161-29"/>
    <s v="N.A"/>
    <s v="N.A"/>
    <s v="N.A"/>
    <n v="80111620"/>
    <s v="A-05-01-02-008-003 SERVICIOS PROFESIONALES, CIENTÍFICOS Y TÉCNICOS"/>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n v="8650000"/>
    <m/>
    <n v="8650000"/>
    <m/>
    <n v="17300000"/>
  </r>
  <r>
    <x v="1"/>
    <x v="8"/>
    <s v="N.A"/>
    <s v="Si"/>
    <s v="75 (30/12/2024)"/>
    <s v="161-30"/>
    <s v="N.A"/>
    <s v="N.A"/>
    <s v="N.A"/>
    <n v="80111620"/>
    <s v="A-05-01-02-008-003 SERVICIOS PROFESIONALES, CIENTÍFICOS Y TÉCNICOS"/>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7150000"/>
    <n v="97150000"/>
    <s v="No"/>
    <s v="N/A"/>
    <s v="Jessica Arias Gaviria"/>
    <s v="Subdirectora de Demanda"/>
    <n v="6012220601"/>
    <s v="jessica.arias@upme.gov.co"/>
    <m/>
    <m/>
    <m/>
    <m/>
    <m/>
    <m/>
    <m/>
    <m/>
    <m/>
    <m/>
    <m/>
    <m/>
    <m/>
    <m/>
    <m/>
    <m/>
    <m/>
    <m/>
    <m/>
    <n v="8800000"/>
    <m/>
    <n v="8800000"/>
    <m/>
    <n v="17950000"/>
  </r>
  <r>
    <x v="1"/>
    <x v="8"/>
    <s v="N.A"/>
    <s v="Si"/>
    <n v="5"/>
    <s v="161-31"/>
    <s v="N.A"/>
    <s v="N.A"/>
    <s v="N.A"/>
    <n v="80111620"/>
    <s v="A-05-01-02-008-003 SERVICIOS PROFESIONALES, CIENTÍFICOS Y TÉCNICOS"/>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n v="8997450"/>
    <m/>
    <n v="8997450"/>
    <m/>
    <n v="17994900"/>
  </r>
  <r>
    <x v="1"/>
    <x v="8"/>
    <s v="N.A"/>
    <s v="Si"/>
    <s v="75 (30/12/2024)"/>
    <s v="161-32"/>
    <s v="N.A"/>
    <s v="N.A"/>
    <s v="N.A"/>
    <n v="80111620"/>
    <s v="A-05-01-02-008-003 SERVICIOS PROFESIONALES, CIENTÍFICOS Y TÉCNICOS"/>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n v="7727273"/>
    <m/>
    <n v="7727273"/>
    <m/>
    <n v="15454543"/>
  </r>
  <r>
    <x v="1"/>
    <x v="8"/>
    <s v="N.A"/>
    <s v="Si"/>
    <s v="75 (30/12/2024)"/>
    <s v="161-33"/>
    <s v="N.A"/>
    <s v="N.A"/>
    <s v="N.A"/>
    <n v="80111620"/>
    <s v="A-05-01-02-008-003 SERVICIOS PROFESIONALES, CIENTÍFICOS Y TÉCNICOS"/>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0138452"/>
    <n v="120138452"/>
    <s v="No"/>
    <s v="N/A"/>
    <s v="Jessica Arias Gaviria"/>
    <s v="Subdirectora de Demanda"/>
    <n v="6012220601"/>
    <s v="jessica.arias@upme.gov.co"/>
    <m/>
    <m/>
    <m/>
    <m/>
    <m/>
    <m/>
    <m/>
    <m/>
    <m/>
    <m/>
    <m/>
    <m/>
    <m/>
    <m/>
    <m/>
    <m/>
    <m/>
    <m/>
    <m/>
    <n v="10446822"/>
    <m/>
    <n v="10446822"/>
    <m/>
    <n v="20893644"/>
  </r>
  <r>
    <x v="1"/>
    <x v="8"/>
    <s v="N.A"/>
    <s v="Si"/>
    <n v="13"/>
    <s v="161-34"/>
    <s v="N.A"/>
    <s v="N.A"/>
    <s v="N.A"/>
    <n v="80111620"/>
    <s v="A-05-01-02-008-003 SERVICIOS PROFESIONALES, CIENTÍFICOS Y TÉCNICOS"/>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n v="7053862"/>
    <m/>
    <n v="7053862"/>
    <m/>
    <n v="6732560"/>
  </r>
  <r>
    <x v="1"/>
    <x v="8"/>
    <s v="N.A"/>
    <s v="Si"/>
    <n v="48"/>
    <s v="161-35"/>
    <s v="N.A"/>
    <s v="N.A"/>
    <s v="N.A"/>
    <n v="81101516"/>
    <s v="A-05-01-02-008-003 SERVICIOS PROFESIONALES, CIENTÍFICOS Y TÉCNICOS"/>
    <s v="Consultoría"/>
    <s v="161-35 Diseñar y estructurar el contenido técnico y la propuesta de acreditación y certificación del programa de capacitación para gestores energéticos"/>
    <s v="Mayo"/>
    <s v="Junio "/>
    <s v="Julio "/>
    <n v="5"/>
    <s v="Meses"/>
    <s v="Contratación régimen especial (con ofertas) - Régimen especial"/>
    <s v="Propios - 20 - Ingresos corrientes"/>
    <n v="17557199"/>
    <n v="17557199"/>
    <s v="No"/>
    <s v="N/A"/>
    <s v="Jessica Arias Gaviria"/>
    <s v="Subdirectora de Demanda"/>
    <n v="6012220601"/>
    <s v="jessica.arias@upme.gov.co"/>
    <m/>
    <m/>
    <m/>
    <m/>
    <m/>
    <m/>
    <m/>
    <m/>
    <m/>
    <m/>
    <m/>
    <m/>
    <m/>
    <m/>
    <m/>
    <m/>
    <m/>
    <m/>
    <m/>
    <n v="187646860"/>
    <m/>
    <m/>
    <m/>
    <n v="140735144"/>
  </r>
  <r>
    <x v="1"/>
    <x v="8"/>
    <s v="N.A"/>
    <s v="Si"/>
    <n v="42"/>
    <s v="161-36"/>
    <s v="N.A"/>
    <s v="N.A"/>
    <s v="N.A"/>
    <n v="80111620"/>
    <s v="A-05-01-02-008-002 SERVICIOS JURIDICOS Y CONTABLES"/>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n v="9000000"/>
    <m/>
    <n v="9000000"/>
    <m/>
    <n v="18000000"/>
  </r>
  <r>
    <x v="1"/>
    <x v="8"/>
    <s v="N.A"/>
    <s v="Si"/>
    <n v="42"/>
    <s v="161-37"/>
    <s v="N.A"/>
    <s v="N.A"/>
    <s v="N.A"/>
    <n v="80111620"/>
    <s v="A-05-01-02-008-002 SERVICIOS JURIDICOS Y CONTABLES"/>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n v="6615000"/>
    <m/>
    <n v="6615000"/>
    <m/>
    <n v="13230000"/>
  </r>
  <r>
    <x v="1"/>
    <x v="8"/>
    <s v="N.A"/>
    <s v="Si"/>
    <s v="75 (30/12/2024)"/>
    <s v="161-38"/>
    <s v="N.A"/>
    <s v="N.A"/>
    <s v="N.A"/>
    <n v="80111620"/>
    <s v="A-05-01-02-008-002 SERVICIOS JURIDICOS Y CONTABLES"/>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n v="9200000"/>
    <m/>
    <n v="9200000"/>
    <m/>
    <n v="18400000"/>
  </r>
  <r>
    <x v="1"/>
    <x v="8"/>
    <s v="N.A"/>
    <s v="Si"/>
    <n v="5"/>
    <s v="161-39"/>
    <s v="N.A"/>
    <s v="N.A"/>
    <s v="N.A"/>
    <n v="80111620"/>
    <s v="A-05-01-02-008-002 SERVICIOS JURIDICOS Y CONTABLES"/>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11002815"/>
    <n v="111002815"/>
    <s v="No"/>
    <s v="N/A"/>
    <s v="Jessica Arias Gaviria"/>
    <s v="Subdirectora de Demanda"/>
    <n v="6012220601"/>
    <s v="jessica.arias@upme.gov.co"/>
    <m/>
    <m/>
    <m/>
    <m/>
    <m/>
    <m/>
    <m/>
    <m/>
    <m/>
    <m/>
    <m/>
    <m/>
    <m/>
    <m/>
    <m/>
    <m/>
    <m/>
    <m/>
    <m/>
    <n v="9677850"/>
    <m/>
    <n v="9677850"/>
    <m/>
    <n v="23902165"/>
  </r>
  <r>
    <x v="1"/>
    <x v="8"/>
    <s v="N.A"/>
    <s v="Si"/>
    <n v="42"/>
    <s v="161-40"/>
    <s v="N.A"/>
    <s v="N.A"/>
    <s v="N.A"/>
    <n v="80111620"/>
    <s v="A-05-01-02-008-002 SERVICIOS JURIDICOS Y CONTABLES"/>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n v="5000000"/>
    <m/>
    <n v="5000000"/>
    <m/>
    <n v="10000000"/>
  </r>
  <r>
    <x v="1"/>
    <x v="8"/>
    <s v="N.A"/>
    <s v="Si"/>
    <n v="44"/>
    <s v="161-41"/>
    <s v="N.A"/>
    <s v="N.A"/>
    <s v="N.A"/>
    <n v="80111620"/>
    <s v="A-05-01-02-008-003 SERVICIOS PROFESIONALES, CIENTÍFICOS Y TÉCNICOS"/>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n v="5416950"/>
    <m/>
    <n v="5416950"/>
    <m/>
    <n v="8125425"/>
  </r>
  <r>
    <x v="1"/>
    <x v="8"/>
    <s v="N.A"/>
    <s v="Si"/>
    <n v="41"/>
    <s v="161-42"/>
    <s v="N.A"/>
    <s v="N.A"/>
    <s v="N.A"/>
    <n v="80111620"/>
    <s v="A-05-01-02-008-003 SERVICIOS PROFESIONALES, CIENTÍFICOS Y TÉCNICOS"/>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n v="9500000"/>
    <m/>
    <n v="9500000"/>
    <m/>
    <n v="19000000"/>
  </r>
  <r>
    <x v="1"/>
    <x v="8"/>
    <s v="N.A"/>
    <s v="Si"/>
    <n v="41"/>
    <s v="161-43"/>
    <s v="N.A"/>
    <s v="N.A"/>
    <s v="N.A"/>
    <n v="80111620"/>
    <s v="A-05-01-02-008-003 SERVICIOS PROFESIONALES, CIENTÍFICOS Y TÉCNICOS"/>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n v="5000000"/>
    <m/>
    <n v="5000000"/>
    <m/>
    <n v="5000000"/>
  </r>
  <r>
    <x v="1"/>
    <x v="8"/>
    <s v="N.A"/>
    <s v="Si"/>
    <s v="75 (30/12/2024)"/>
    <s v="161-44"/>
    <s v="N.A"/>
    <s v="N.A"/>
    <s v="N.A"/>
    <n v="80111620"/>
    <s v="A-05-01-02-008-002 SERVICIOS JURIDICOS Y CONTABLES"/>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m/>
    <m/>
    <n v="5000000"/>
    <m/>
    <n v="5000000"/>
    <m/>
    <n v="5000000"/>
  </r>
  <r>
    <x v="1"/>
    <x v="8"/>
    <s v="N.A"/>
    <s v="Si"/>
    <s v="75 (30/12/2024)"/>
    <s v="161-45"/>
    <s v="N.A"/>
    <s v="N.A"/>
    <s v="N.A"/>
    <n v="80111620"/>
    <s v="A-05-01-02-008-002 SERVICIOS JURIDICOS Y CONTABLES"/>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5690000"/>
    <n v="85690000"/>
    <s v="No"/>
    <s v="N/A"/>
    <s v="Jessica Arias Gaviria"/>
    <s v="Subdirectora de Demanda"/>
    <n v="6012220601"/>
    <s v="jessica.arias@upme.gov.co"/>
    <m/>
    <m/>
    <m/>
    <m/>
    <m/>
    <m/>
    <m/>
    <m/>
    <m/>
    <m/>
    <m/>
    <m/>
    <m/>
    <m/>
    <m/>
    <m/>
    <m/>
    <m/>
    <m/>
    <n v="8569000"/>
    <m/>
    <n v="8569000"/>
    <m/>
    <n v="8569000"/>
  </r>
  <r>
    <x v="1"/>
    <x v="8"/>
    <s v="N.A"/>
    <s v="Si"/>
    <s v="75 (30/12/2024)"/>
    <s v="161-46"/>
    <s v="N.A"/>
    <s v="N.A"/>
    <s v="N.A"/>
    <n v="80111620"/>
    <s v="A-05-01-02-008-002 SERVICIOS JURIDICOS Y CONTABLES"/>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50000000"/>
    <n v="50000000"/>
    <s v="No"/>
    <s v="N/A"/>
    <s v="Jessica Arias Gaviria"/>
    <s v="Subdirectora de Demanda"/>
    <n v="6012220601"/>
    <s v="jessica.arias@upme.gov.co"/>
    <m/>
    <m/>
    <m/>
    <m/>
    <m/>
    <m/>
    <m/>
    <m/>
    <m/>
    <m/>
    <m/>
    <m/>
    <m/>
    <m/>
    <m/>
    <m/>
    <m/>
    <m/>
    <m/>
    <n v="5000000"/>
    <m/>
    <n v="5000000"/>
    <m/>
    <n v="5000000"/>
  </r>
  <r>
    <x v="1"/>
    <x v="8"/>
    <s v="N.A"/>
    <s v="Si"/>
    <s v="75 (30/12/2024)"/>
    <s v="161-47"/>
    <s v="N.A"/>
    <s v="N.A"/>
    <s v="N.A"/>
    <n v="80111620"/>
    <s v="A-05-01-02-008-003 SERVICIOS PROFESIONALES, CIENTÍFICOS Y TÉCNICOS"/>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r>
  <r>
    <x v="1"/>
    <x v="8"/>
    <s v="N.A"/>
    <s v="Si"/>
    <s v="75 (30/12/2024)"/>
    <s v="161-48"/>
    <s v="N.A"/>
    <s v="N.A"/>
    <s v="N.A"/>
    <n v="80111620"/>
    <s v="A-05-01-02-008-003 SERVICIOS PROFESIONALES, CIENTÍFICOS Y TÉCNICOS"/>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r>
  <r>
    <x v="1"/>
    <x v="8"/>
    <s v="N.A"/>
    <s v="Si"/>
    <n v="48"/>
    <s v="161-49"/>
    <s v="N.A"/>
    <s v="N.A"/>
    <s v="N.A"/>
    <n v="80111620"/>
    <s v="A-05-01-02-008-002 SERVICIOS JURIDICOS Y CONTABLES"/>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n v="8500000"/>
    <m/>
    <n v="8500000"/>
    <m/>
    <n v="17000000"/>
  </r>
  <r>
    <x v="1"/>
    <x v="8"/>
    <s v="N.A"/>
    <s v="Si"/>
    <n v="31"/>
    <s v="161-50"/>
    <s v="N.A"/>
    <s v="N.A"/>
    <s v="N.A"/>
    <n v="80111620"/>
    <s v="A-05-01-02-008-003 SERVICIOS PROFESIONALES, CIENTÍFICOS Y TÉCNICOS"/>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n v="7366800"/>
    <m/>
    <n v="7366800"/>
    <m/>
    <n v="7366800"/>
  </r>
  <r>
    <x v="1"/>
    <x v="8"/>
    <s v="N.A"/>
    <s v="Si"/>
    <s v="75 (30/12/2024)"/>
    <s v="161-51"/>
    <s v="N.A"/>
    <s v="N.A"/>
    <s v="N.A"/>
    <s v="84111701;84101501"/>
    <s v="A-05-01-02-007-001 SERVICIOS FINANCIEROS Y CONEXOS"/>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n v="5513940"/>
    <m/>
    <n v="5513940"/>
    <m/>
    <n v="5513940"/>
  </r>
  <r>
    <x v="1"/>
    <x v="8"/>
    <s v="N.A"/>
    <s v="Si"/>
    <n v="46"/>
    <s v="161-52"/>
    <s v="N.A"/>
    <s v="N.A"/>
    <s v="N.A"/>
    <n v="80111620"/>
    <s v="A-05-01-02-008-003 SERVICIOS PROFESIONALES, CIENTÍFICOS Y TÉCNICOS"/>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n v="3536160"/>
    <m/>
    <n v="3536160"/>
    <m/>
    <n v="1768080"/>
  </r>
  <r>
    <x v="1"/>
    <x v="8"/>
    <s v="N.A"/>
    <s v="Si"/>
    <n v="22"/>
    <s v="161-53"/>
    <s v="N.A"/>
    <s v="N.A"/>
    <s v="N.A"/>
    <n v="80111620"/>
    <s v="A-05-01-02-008-003 SERVICIOS PROFESIONALES, CIENTÍFICOS Y TÉCNICOS"/>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n v="3285450"/>
    <m/>
    <n v="3285450"/>
    <m/>
    <n v="6570900"/>
  </r>
  <r>
    <x v="1"/>
    <x v="8"/>
    <s v="N.A"/>
    <s v="Si"/>
    <s v="75 (30/12/2024)"/>
    <s v="161-54"/>
    <s v="N.A"/>
    <s v="N.A"/>
    <s v="N.A"/>
    <n v="80131500"/>
    <s v="A-05-01-02-007-002 SERVICIOS INMOBILIARIOS"/>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39469810"/>
    <n v="139469810"/>
    <s v="No"/>
    <s v="N/A"/>
    <s v="Yezmy Carolina Vargas"/>
    <s v="Coordinadora GIT Gestión Administrativa y Servicio al Ciudadano"/>
    <n v="6012220601"/>
    <s v="yezmy.vargas@upme.gov.co"/>
    <m/>
    <m/>
    <m/>
    <m/>
    <m/>
    <m/>
    <m/>
    <m/>
    <m/>
    <m/>
    <m/>
    <m/>
    <m/>
    <m/>
    <m/>
    <m/>
    <m/>
    <m/>
    <m/>
    <n v="11622484"/>
    <m/>
    <n v="11622484"/>
    <m/>
    <n v="11622486"/>
  </r>
  <r>
    <x v="1"/>
    <x v="8"/>
    <s v="N.A"/>
    <s v="Si"/>
    <s v="75 (30/12/2024)"/>
    <s v="161-55"/>
    <s v="N.A"/>
    <s v="N.A"/>
    <s v="N.A"/>
    <n v="80111620"/>
    <s v="A-05-01-02-008-002 SERVICIOS JURIDICOS Y CONTABLES"/>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74369600"/>
    <n v="74369600"/>
    <s v="No"/>
    <s v="N/A"/>
    <s v="Hollman Corredor"/>
    <s v="Coordinador GIT Gestión Financiera"/>
    <n v="6012220601"/>
    <s v="hollman.corredor@upme.gov.co"/>
    <n v="73668000"/>
    <m/>
    <m/>
    <m/>
    <m/>
    <m/>
    <m/>
    <m/>
    <m/>
    <m/>
    <m/>
    <m/>
    <m/>
    <m/>
    <m/>
    <m/>
    <m/>
    <m/>
    <m/>
    <n v="7436960"/>
    <m/>
    <n v="7436960"/>
    <m/>
    <n v="3718480"/>
  </r>
  <r>
    <x v="1"/>
    <x v="8"/>
    <s v="N.A"/>
    <s v="Si"/>
    <s v="75 (30/12/2024)"/>
    <s v="161-56"/>
    <s v="N.A"/>
    <s v="N.A"/>
    <s v="N.A"/>
    <n v="80111620"/>
    <s v="A-05-01-02-008-003 SERVICIOS PROFESIONALES, CIENTÍFICOS Y TÉCNICOS"/>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35622510"/>
    <n v="35622510"/>
    <s v="No"/>
    <s v="N/A"/>
    <s v="Hollman Corredor"/>
    <s v="Coordinador GIT Gestión Financiera"/>
    <n v="6012220601"/>
    <s v="hollman.corredor@upme.gov.co"/>
    <m/>
    <m/>
    <m/>
    <m/>
    <m/>
    <m/>
    <m/>
    <m/>
    <m/>
    <m/>
    <m/>
    <m/>
    <m/>
    <m/>
    <m/>
    <m/>
    <m/>
    <m/>
    <m/>
    <n v="3316740"/>
    <m/>
    <n v="3316740"/>
    <m/>
    <n v="4113480"/>
  </r>
  <r>
    <x v="1"/>
    <x v="8"/>
    <s v="N.A"/>
    <s v="Si"/>
    <s v="75 (30/12/2024)"/>
    <s v="161-57"/>
    <s v="N.A"/>
    <s v="N.A"/>
    <s v="N.A"/>
    <s v="78102203;78102206"/>
    <s v="A-05-01-02-006-008 SERVICIOS POSTALES Y DE MENSAJERIA"/>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n v="2500000"/>
    <m/>
    <n v="2500000"/>
    <m/>
    <n v="2500000"/>
  </r>
  <r>
    <x v="1"/>
    <x v="8"/>
    <s v="N.A"/>
    <s v="Si"/>
    <s v="75 (30/12/2024)"/>
    <s v="161-58"/>
    <s v="N.A"/>
    <s v="N.A"/>
    <s v="N.A"/>
    <n v="80111620"/>
    <s v="A-05-01-02-008-003 SERVICIOS PROFESIONALES, CIENTÍFICOS Y TÉCNICOS"/>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n v="3458000"/>
    <m/>
    <n v="3458000"/>
    <m/>
    <n v="6916000"/>
  </r>
  <r>
    <x v="1"/>
    <x v="8"/>
    <s v="N.A"/>
    <s v="Si"/>
    <s v="75 (30/12/2024)"/>
    <s v="161-59"/>
    <s v="N.A"/>
    <s v="N.A"/>
    <s v="N.A"/>
    <n v="80111620"/>
    <s v="A-05-01-02-008-002 SERVICIOS JURIDICOS Y CONTABLES"/>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45250000"/>
    <n v="45250000"/>
    <s v="No"/>
    <s v="N/A"/>
    <s v="Jessica Arias Gaviria"/>
    <s v="Subdirectora de Demanda"/>
    <n v="6012220601"/>
    <s v="jessica.arias@upme.gov.co"/>
    <m/>
    <m/>
    <m/>
    <m/>
    <m/>
    <m/>
    <m/>
    <m/>
    <m/>
    <m/>
    <m/>
    <m/>
    <m/>
    <m/>
    <m/>
    <m/>
    <m/>
    <m/>
    <m/>
    <n v="4525000"/>
    <m/>
    <n v="4525000"/>
    <m/>
    <n v="4525000"/>
  </r>
  <r>
    <x v="1"/>
    <x v="8"/>
    <s v="N.A"/>
    <s v="Si"/>
    <s v="75 (30/12/2024)"/>
    <s v="161-60"/>
    <s v="N.A"/>
    <s v="N.A"/>
    <s v="N.A"/>
    <s v="N/A"/>
    <s v="A-05-01-02-007-001 SERVICIOS FINANCIEROS Y CONEXOS"/>
    <s v="Impuesto"/>
    <s v="161-60 4X1000"/>
    <s v="N.A"/>
    <s v="N.A"/>
    <s v="N.A"/>
    <s v="N.A"/>
    <s v="N/A"/>
    <s v="N/A"/>
    <s v="Propios - 20 - Ingresos corrientes"/>
    <n v="16984554"/>
    <n v="16984554"/>
    <s v="No"/>
    <s v="N/A"/>
    <s v="Jessica Arias Gaviria"/>
    <s v="Subdirectora de Demanda"/>
    <n v="6012220601"/>
    <s v="jessica.arias@upme.gov.co"/>
    <m/>
    <m/>
    <m/>
    <m/>
    <m/>
    <m/>
    <m/>
    <m/>
    <m/>
    <m/>
    <m/>
    <m/>
    <m/>
    <m/>
    <m/>
    <m/>
    <m/>
    <m/>
    <n v="1363831"/>
    <n v="1363831"/>
    <n v="1363831"/>
    <n v="1363831"/>
    <n v="2994117"/>
    <n v="299411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1000000}" name="Ejecución por proyecto de inver" cacheId="17" applyNumberFormats="0" applyBorderFormats="0" applyFontFormats="0" applyPatternFormats="0" applyAlignmentFormats="0" applyWidthHeightFormats="0" dataCaption="" updatedVersion="8" compact="0" compactData="0">
  <location ref="A3:B14" firstHeaderRow="1" firstDataRow="1" firstDataCol="1" rowPageCount="1" colPageCount="1"/>
  <pivotFields count="59">
    <pivotField name="Tipo de PAA" axis="axisPage" compact="0" outline="0" multipleItemSelectionAllowed="1" showAll="0">
      <items count="3">
        <item x="0"/>
        <item h="1" x="1"/>
        <item t="default"/>
      </items>
    </pivotField>
    <pivotField name="Dependencia" axis="axisRow"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compact="0" outline="0" multipleItemSelectionAllowed="1" showAll="0"/>
    <pivotField name="Actividad / Entregable del Proyecto de Inversión" compact="0" outline="0" multipleItemSelectionAllowed="1" showAll="0"/>
    <pivotField name="Códigos UNSPSC" compact="0" outline="0" multipleItemSelectionAllowed="1" showAll="0"/>
    <pivotField name="Rubro prespuestal" compact="0" outline="0" multipleItemSelectionAllowed="1" showAll="0"/>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6" outline="0" multipleItemSelectionAllowed="1" showAll="0"/>
    <pivotField name="Valor estimado en la vigencia actual" dataField="1" compact="0" numFmtId="166"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s>
  <rowFields count="1">
    <field x="1"/>
  </rowFields>
  <rowItems count="11">
    <i>
      <x/>
    </i>
    <i>
      <x v="1"/>
    </i>
    <i>
      <x v="2"/>
    </i>
    <i>
      <x v="3"/>
    </i>
    <i>
      <x v="4"/>
    </i>
    <i>
      <x v="5"/>
    </i>
    <i>
      <x v="6"/>
    </i>
    <i>
      <x v="7"/>
    </i>
    <i>
      <x v="8"/>
    </i>
    <i>
      <x v="9"/>
    </i>
    <i t="grand">
      <x/>
    </i>
  </rowItems>
  <colItems count="1">
    <i/>
  </colItems>
  <pageFields count="1">
    <pageField fld="0" hier="0"/>
  </pageFields>
  <dataFields count="1">
    <dataField name="SUM of Valor estimado en la vigencia actual" fld="2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5000000}" name="Tablas dinámicas 3" cacheId="10" applyNumberFormats="0" applyBorderFormats="0" applyFontFormats="0" applyPatternFormats="0" applyAlignmentFormats="0" applyWidthHeightFormats="0" dataCaption="" updatedVersion="8" rowGrandTotals="0" colGrandTotals="0" compact="0" compactData="0">
  <location ref="A118:M170" firstHeaderRow="1" firstDataRow="2" firstDataCol="3" rowPageCount="1" colPageCount="1"/>
  <pivotFields count="59">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6" outline="0" multipleItemSelectionAllowed="1" showAll="0"/>
    <pivotField name="Valor estimado en la vigencia actual" compact="0" numFmtId="166"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600-000004000000}" name="Tablas dinámicas 4" cacheId="10" applyNumberFormats="0" applyBorderFormats="0" applyFontFormats="0" applyPatternFormats="0" applyAlignmentFormats="0" applyWidthHeightFormats="0" dataCaption="" updatedVersion="8" rowGrandTotals="0" colGrandTotals="0" compact="0" compactData="0">
  <location ref="A176:M228" firstHeaderRow="1" firstDataRow="2" firstDataCol="3" rowPageCount="1" colPageCount="1"/>
  <pivotFields count="59">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6" outline="0" multipleItemSelectionAllowed="1" showAll="0"/>
    <pivotField name="Valor estimado en la vigencia actual" compact="0" numFmtId="166"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600-000003000000}" name="Tablas dinámicas" cacheId="10" applyNumberFormats="0" applyBorderFormats="0" applyFontFormats="0" applyPatternFormats="0" applyAlignmentFormats="0" applyWidthHeightFormats="0" dataCaption="" updatedVersion="8" rowGrandTotals="0" colGrandTotals="0" compact="0" compactData="0">
  <location ref="A3:M55" firstHeaderRow="1" firstDataRow="2" firstDataCol="3" rowPageCount="1" colPageCount="1"/>
  <pivotFields count="59">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6" outline="0" multipleItemSelectionAllowed="1" showAll="0"/>
    <pivotField name="Valor estimado en la vigencia actual" dataField="1" compact="0" numFmtId="166"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estimado en la vigencia actual" fld="2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600-000002000000}" name="Tablas dinámicas 2" cacheId="10" applyNumberFormats="0" applyBorderFormats="0" applyFontFormats="0" applyPatternFormats="0" applyAlignmentFormats="0" applyWidthHeightFormats="0" dataCaption="" updatedVersion="8" rowGrandTotals="0" colGrandTotals="0" compact="0" compactData="0">
  <location ref="A60:M112" firstHeaderRow="1" firstDataRow="2" firstDataCol="3" rowPageCount="1" colPageCount="1"/>
  <pivotFields count="59">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6" outline="0" multipleItemSelectionAllowed="1" showAll="0"/>
    <pivotField name="Valor estimado en la vigencia actual" compact="0" numFmtId="166"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800-000006000000}" name="Programación por dependencia" cacheId="22" applyNumberFormats="0" applyBorderFormats="0" applyFontFormats="0" applyPatternFormats="0" applyAlignmentFormats="0" applyWidthHeightFormats="0" dataCaption="" updatedVersion="8" compact="0" compactData="0">
  <location ref="A18:M30" firstHeaderRow="1" firstDataRow="2" firstDataCol="1" rowPageCount="1" colPageCount="1"/>
  <pivotFields count="52">
    <pivotField name="Tipo de PAA" axis="axisPage" compact="0" outline="0" multipleItemSelectionAllowed="1" showAll="0">
      <items count="3">
        <item x="0"/>
        <item h="1" x="1"/>
        <item t="default"/>
      </items>
    </pivotField>
    <pivotField name="Dependencia" axis="axisRow"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compact="0" outline="0" multipleItemSelectionAllowed="1" showAll="0"/>
    <pivotField name="Actividad / Entregable del Proyecto de Inversión" compact="0" outline="0" multipleItemSelectionAllowed="1" showAll="0"/>
    <pivotField name="Códigos UNSPSC" compact="0" outline="0" multipleItemSelectionAllowed="1" showAll="0"/>
    <pivotField name="Rubro prespuestal" compact="0" outline="0" multipleItemSelectionAllowed="1" showAll="0"/>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6" outline="0" multipleItemSelectionAllowed="1" showAll="0"/>
    <pivotField name="Valor estimado en la vigencia actual" compact="0" numFmtId="166"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dataField="1" compact="0" outline="0" multipleItemSelectionAllowed="1" showAll="0"/>
    <pivotField name="Compromisos Febrero_Modificado" compact="0" outline="0" multipleItemSelectionAllowed="1" showAll="0"/>
    <pivotField name="Obligaciones Febrero_Modificado" dataField="1" compact="0" outline="0" multipleItemSelectionAllowed="1" showAll="0"/>
    <pivotField name="Compromisos Marzo_Modificado" compact="0" outline="0" multipleItemSelectionAllowed="1" showAll="0"/>
    <pivotField name="Obligaciones Marzo_Modificado" dataField="1" compact="0" outline="0" multipleItemSelectionAllowed="1" showAll="0"/>
    <pivotField name="Compromisos Abril_Modificado" compact="0" outline="0" multipleItemSelectionAllowed="1" showAll="0"/>
    <pivotField name="Obligaciones Abril_Modificado" dataField="1" compact="0" outline="0" multipleItemSelectionAllowed="1" showAll="0"/>
    <pivotField name="Compromisos Mayo_Modificado" compact="0" outline="0" multipleItemSelectionAllowed="1" showAll="0"/>
    <pivotField name="Obligaciones Mayo_Modificado" dataField="1" compact="0" outline="0" multipleItemSelectionAllowed="1" showAll="0"/>
    <pivotField name="Compromisos Junio_Modificado" compact="0" outline="0" multipleItemSelectionAllowed="1" showAll="0"/>
    <pivotField name="Obligaciones Junio_Modificado" dataField="1" compact="0" outline="0" multipleItemSelectionAllowed="1" showAll="0"/>
    <pivotField name="Compromisos Julio_Modificado" compact="0" outline="0" multipleItemSelectionAllowed="1" showAll="0"/>
    <pivotField name="Obligaciones Julio_Modificado" dataField="1" compact="0" outline="0" multipleItemSelectionAllowed="1" showAll="0"/>
    <pivotField name="Compromisos Agosto_Modificado" compact="0" outline="0" multipleItemSelectionAllowed="1" showAll="0"/>
    <pivotField name="Obligaciones Agosto_Modificado" dataField="1" compact="0" outline="0" multipleItemSelectionAllowed="1" showAll="0"/>
    <pivotField name="Compromisos Septiembre_Modificado" compact="0" outline="0" multipleItemSelectionAllowed="1" showAll="0"/>
    <pivotField name="Obligaciones Septiembre_Modificado" dataField="1" compact="0" outline="0" multipleItemSelectionAllowed="1" showAll="0"/>
    <pivotField name="Compromisos Octubre_Modificado" compact="0" outline="0" multipleItemSelectionAllowed="1" showAll="0"/>
    <pivotField name="Obligaciones Octubre_Modificado" dataField="1" compact="0" outline="0" multipleItemSelectionAllowed="1" showAll="0"/>
    <pivotField name="Compromisos Noviembre_Modificado" compact="0" numFmtId="3" outline="0" multipleItemSelectionAllowed="1" showAll="0"/>
    <pivotField name="Obligaciones Noviembre_Modificado" dataField="1" compact="0" numFmtId="3" outline="0" multipleItemSelectionAllowed="1" showAll="0"/>
    <pivotField name="Compromisos Diciembre_Modificado" compact="0" numFmtId="3" outline="0" multipleItemSelectionAllowed="1" showAll="0"/>
    <pivotField name="Obligaciones Diciembre_Modificado" dataField="1" compact="0" numFmtId="3" outline="0" multipleItemSelectionAllowed="1" showAll="0"/>
  </pivotFields>
  <rowFields count="1">
    <field x="1"/>
  </rowFields>
  <rowItems count="11">
    <i>
      <x/>
    </i>
    <i>
      <x v="1"/>
    </i>
    <i>
      <x v="2"/>
    </i>
    <i>
      <x v="3"/>
    </i>
    <i>
      <x v="4"/>
    </i>
    <i>
      <x v="5"/>
    </i>
    <i>
      <x v="6"/>
    </i>
    <i>
      <x v="7"/>
    </i>
    <i>
      <x v="8"/>
    </i>
    <i>
      <x v="9"/>
    </i>
    <i t="grand">
      <x/>
    </i>
  </rowItems>
  <colFields count="1">
    <field x="-2"/>
  </colFields>
  <colItems count="12">
    <i>
      <x/>
    </i>
    <i i="1">
      <x v="1"/>
    </i>
    <i i="2">
      <x v="2"/>
    </i>
    <i i="3">
      <x v="3"/>
    </i>
    <i i="4">
      <x v="4"/>
    </i>
    <i i="5">
      <x v="5"/>
    </i>
    <i i="6">
      <x v="6"/>
    </i>
    <i i="7">
      <x v="7"/>
    </i>
    <i i="8">
      <x v="8"/>
    </i>
    <i i="9">
      <x v="9"/>
    </i>
    <i i="10">
      <x v="10"/>
    </i>
    <i i="11">
      <x v="11"/>
    </i>
  </colItems>
  <pageFields count="1">
    <pageField fld="0" hier="0"/>
  </pageFields>
  <dataFields count="12">
    <dataField name="SUM of Obligaciones Enero_Modificado" fld="29" baseField="0"/>
    <dataField name="SUM of Obligaciones Febrero_Modificado" fld="31" baseField="0"/>
    <dataField name="SUM of Obligaciones Marzo_Modificado" fld="33" baseField="0"/>
    <dataField name="SUM of Obligaciones Abril_Modificado" fld="35" baseField="0"/>
    <dataField name="SUM of Obligaciones Mayo_Modificado" fld="37" baseField="0"/>
    <dataField name="SUM of Obligaciones Junio_Modificado" fld="39" baseField="0"/>
    <dataField name="SUM of Obligaciones Julio_Modificado" fld="41" baseField="0"/>
    <dataField name="SUM of Obligaciones Agosto_Modificado" fld="43" baseField="0"/>
    <dataField name="SUM of Obligaciones Septiembre_Modificado" fld="45" baseField="0"/>
    <dataField name="SUM of Obligaciones Octubre_Modificado" fld="47" baseField="0"/>
    <dataField name="SUM of Obligaciones Noviembre_Modificado" fld="49" baseField="0"/>
    <dataField name="SUM of Obligaciones Diciembre_Modificado" fld="5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900-000007000000}" name="Tabla dinámica 3" cacheId="17" applyNumberFormats="0" applyBorderFormats="0" applyFontFormats="0" applyPatternFormats="0" applyAlignmentFormats="0" applyWidthHeightFormats="0" dataCaption="" updatedVersion="8" rowGrandTotals="0" compact="0" compactData="0">
  <location ref="A3:C30" firstHeaderRow="1" firstDataRow="1" firstDataCol="2" rowPageCount="1" colPageCount="1"/>
  <pivotFields count="59">
    <pivotField name="Tipo de PAA" axis="axisPage" compact="0" outline="0" multipleItemSelectionAllowed="1" showAll="0">
      <items count="3">
        <item x="0"/>
        <item h="1" x="1"/>
        <item t="default"/>
      </items>
    </pivotField>
    <pivotField name="Dependencia" compact="0" outline="0" multipleItemSelectionAllowed="1" showAll="0"/>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items count="28">
        <item x="7"/>
        <item x="24"/>
        <item x="21"/>
        <item x="14"/>
        <item x="22"/>
        <item x="20"/>
        <item x="23"/>
        <item x="11"/>
        <item x="13"/>
        <item x="1"/>
        <item x="3"/>
        <item x="17"/>
        <item x="15"/>
        <item x="18"/>
        <item x="25"/>
        <item x="9"/>
        <item x="8"/>
        <item x="16"/>
        <item x="6"/>
        <item x="10"/>
        <item x="0"/>
        <item x="5"/>
        <item x="19"/>
        <item x="4"/>
        <item x="12"/>
        <item x="2"/>
        <item x="26"/>
        <item t="default"/>
      </items>
    </pivotField>
    <pivotField name="Actividad / Entregable del Proyecto de Inversión" compact="0" outline="0" multipleItemSelectionAllowed="1" showAll="0"/>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166" outline="0" multipleItemSelectionAllowed="1" showAll="0"/>
    <pivotField name="Valor estimado en la vigencia actual" dataField="1" compact="0" numFmtId="166" outline="0" multipleItemSelectionAllowed="1" showAll="0"/>
    <pivotField name="¿Se requieren vigencias futuras?" compact="0" outline="0" multipleItemSelectionAllowed="1" showAll="0"/>
    <pivotField name="Estado de solicitud de vigencias futuras" compact="0" outline="0" multipleItemSelectionAllowed="1" showAll="0"/>
    <pivotField name="Nombre del responsable" compact="0" outline="0" multipleItemSelectionAllowed="1" showAll="0"/>
    <pivotField name="Cargo del responsable" compact="0" outline="0" multipleItemSelectionAllowed="1" showAll="0"/>
    <pivotField name="Teléfono del responsable" compact="0" outline="0" multipleItemSelectionAllowed="1" showAll="0"/>
    <pivotField name="Correo electrónico del responsable" compact="0"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3" outline="0" multipleItemSelectionAllowed="1" showAll="0"/>
    <pivotField name="Obligaciones Noviembre_Modificado" compact="0" numFmtId="3" outline="0" multipleItemSelectionAllowed="1" showAll="0"/>
    <pivotField name="Compromisos Diciembre_Modificado" compact="0" numFmtId="3" outline="0" multipleItemSelectionAllowed="1" showAll="0"/>
    <pivotField name="Obligaciones Diciembre_Modificado" compact="0" numFmtId="3"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3" outline="0" multipleItemSelectionAllowed="1" showAll="0"/>
    <pivotField name="Total Obligaciones_Modificado" compact="0" numFmtId="3" outline="0" multipleItemSelectionAllowed="1" showAll="0"/>
    <pivotField name="Diferencias (Compromisos - Obligaciones) Modificado" compact="0" numFmtId="3"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s>
  <rowFields count="2">
    <field x="10"/>
    <field x="7"/>
  </rowFields>
  <rowItems count="27">
    <i>
      <x v="23"/>
      <x v="18"/>
    </i>
    <i>
      <x v="24"/>
      <x v="21"/>
    </i>
    <i>
      <x v="25"/>
      <x v="19"/>
    </i>
    <i>
      <x v="26"/>
      <x v="7"/>
    </i>
    <i>
      <x v="27"/>
      <x v="2"/>
    </i>
    <i>
      <x v="28"/>
      <x v="5"/>
    </i>
    <i>
      <x v="29"/>
      <x v="20"/>
    </i>
    <i>
      <x v="30"/>
      <x v="14"/>
    </i>
    <i>
      <x v="31"/>
      <x v="24"/>
    </i>
    <i>
      <x v="32"/>
      <x v="8"/>
    </i>
    <i>
      <x v="33"/>
      <x v="4"/>
    </i>
    <i>
      <x v="34"/>
      <x v="6"/>
    </i>
    <i>
      <x v="35"/>
      <x v="1"/>
    </i>
    <i>
      <x v="36"/>
      <x v="3"/>
    </i>
    <i r="1">
      <x v="17"/>
    </i>
    <i>
      <x v="37"/>
      <x v="22"/>
    </i>
    <i>
      <x v="38"/>
      <x v="11"/>
    </i>
    <i>
      <x v="39"/>
      <x v="12"/>
    </i>
    <i r="1">
      <x v="13"/>
    </i>
    <i>
      <x v="40"/>
      <x v="25"/>
    </i>
    <i>
      <x v="41"/>
      <x v="20"/>
    </i>
    <i r="1">
      <x v="23"/>
    </i>
    <i>
      <x v="42"/>
      <x v="9"/>
    </i>
    <i>
      <x v="43"/>
      <x v="10"/>
    </i>
    <i>
      <x v="44"/>
      <x v="15"/>
    </i>
    <i>
      <x v="45"/>
      <x/>
    </i>
    <i>
      <x v="46"/>
      <x v="16"/>
    </i>
  </rowItems>
  <colItems count="1">
    <i/>
  </colItems>
  <pageFields count="1">
    <pageField fld="0" hier="0"/>
  </pageFields>
  <dataFields count="1">
    <dataField name="SUM of Valor estimado en la vigencia actual" fld="2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carolina.barreraupme.gov.co/" TargetMode="External"/><Relationship Id="rId1" Type="http://schemas.openxmlformats.org/officeDocument/2006/relationships/hyperlink" Target="http://carolina.barreraupme.gov.co/"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4" Type="http://schemas.openxmlformats.org/officeDocument/2006/relationships/pivotTable" Target="../pivotTables/pivotTable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Right="0"/>
  </sheetPr>
  <dimension ref="A1:BG627"/>
  <sheetViews>
    <sheetView tabSelected="1" zoomScale="90" zoomScaleNormal="90" workbookViewId="0">
      <pane ySplit="8" topLeftCell="A150" activePane="bottomLeft" state="frozen"/>
      <selection pane="bottomLeft" activeCell="A8" sqref="A8:AB622"/>
    </sheetView>
  </sheetViews>
  <sheetFormatPr baseColWidth="10" defaultColWidth="12.5703125" defaultRowHeight="15" customHeight="1" outlineLevelCol="1"/>
  <cols>
    <col min="1" max="1" width="14.5703125" customWidth="1"/>
    <col min="2" max="2" width="29.85546875" customWidth="1"/>
    <col min="3" max="4" width="14.5703125" customWidth="1"/>
    <col min="5" max="5" width="17" customWidth="1"/>
    <col min="6" max="6" width="9.5703125" customWidth="1"/>
    <col min="7" max="7" width="31.42578125" customWidth="1"/>
    <col min="8" max="8" width="48" customWidth="1"/>
    <col min="9" max="9" width="32.5703125" customWidth="1"/>
    <col min="10" max="10" width="14.5703125" customWidth="1"/>
    <col min="11" max="11" width="35" customWidth="1"/>
    <col min="12" max="12" width="32.28515625" customWidth="1"/>
    <col min="13" max="13" width="80.42578125" customWidth="1"/>
    <col min="14" max="14" width="13.140625" customWidth="1"/>
    <col min="15" max="16" width="12.42578125" customWidth="1"/>
    <col min="17" max="17" width="9.7109375" customWidth="1"/>
    <col min="18" max="18" width="10.7109375" customWidth="1"/>
    <col min="19" max="19" width="41" customWidth="1"/>
    <col min="20" max="20" width="17.7109375" customWidth="1"/>
    <col min="21" max="22" width="14.42578125" customWidth="1"/>
    <col min="23" max="23" width="11.7109375" customWidth="1"/>
    <col min="24" max="24" width="13.42578125" customWidth="1"/>
    <col min="25" max="25" width="24.42578125" customWidth="1"/>
    <col min="26" max="26" width="19.42578125" customWidth="1"/>
    <col min="27" max="27" width="14.28515625" customWidth="1"/>
    <col min="28" max="28" width="23" customWidth="1" collapsed="1"/>
    <col min="29" max="29" width="17.85546875" hidden="1" customWidth="1" outlineLevel="1"/>
    <col min="30" max="30" width="16.5703125" hidden="1" customWidth="1" outlineLevel="1"/>
    <col min="31" max="31" width="19.140625" hidden="1" customWidth="1" outlineLevel="1"/>
    <col min="32" max="33" width="18.42578125" hidden="1" customWidth="1" outlineLevel="1"/>
    <col min="34" max="34" width="16.7109375" hidden="1" customWidth="1" outlineLevel="1"/>
    <col min="35" max="35" width="19.42578125" hidden="1" customWidth="1" outlineLevel="1"/>
    <col min="36" max="36" width="14.5703125" hidden="1" customWidth="1" outlineLevel="1"/>
    <col min="37" max="37" width="15.85546875" hidden="1" customWidth="1" outlineLevel="1"/>
    <col min="38" max="38" width="15.7109375" hidden="1" customWidth="1" outlineLevel="1"/>
    <col min="39" max="39" width="14.42578125" hidden="1" customWidth="1" outlineLevel="1"/>
    <col min="40" max="40" width="16" hidden="1" customWidth="1" outlineLevel="1"/>
    <col min="41" max="41" width="16.42578125" hidden="1" customWidth="1" outlineLevel="1"/>
    <col min="42" max="42" width="15.42578125" hidden="1" customWidth="1" outlineLevel="1"/>
    <col min="43" max="43" width="18.42578125" hidden="1" customWidth="1" outlineLevel="1"/>
    <col min="44" max="44" width="17.42578125" hidden="1" customWidth="1" outlineLevel="1"/>
    <col min="45" max="45" width="22.140625" hidden="1" customWidth="1" outlineLevel="1"/>
    <col min="46" max="46" width="21.42578125" hidden="1" customWidth="1" outlineLevel="1"/>
    <col min="47" max="47" width="19.42578125" hidden="1" customWidth="1" outlineLevel="1"/>
    <col min="48" max="48" width="18.42578125" hidden="1" customWidth="1" outlineLevel="1"/>
    <col min="49" max="49" width="21.5703125" hidden="1" customWidth="1" outlineLevel="1"/>
    <col min="50" max="50" width="20.85546875" hidden="1" customWidth="1" outlineLevel="1"/>
    <col min="51" max="51" width="21.140625" hidden="1" customWidth="1" outlineLevel="1"/>
    <col min="52" max="52" width="24.42578125" hidden="1" customWidth="1" outlineLevel="1"/>
    <col min="53" max="55" width="20.42578125" hidden="1" customWidth="1" outlineLevel="1"/>
    <col min="56" max="56" width="22.28515625" hidden="1" customWidth="1" outlineLevel="1"/>
    <col min="57" max="57" width="17.42578125" hidden="1" customWidth="1" outlineLevel="1"/>
    <col min="58" max="58" width="16.28515625" hidden="1" customWidth="1" outlineLevel="1"/>
    <col min="59" max="59" width="16.140625" hidden="1" customWidth="1" outlineLevel="1"/>
  </cols>
  <sheetData>
    <row r="1" spans="1:59" ht="15" customHeight="1">
      <c r="A1" s="212"/>
      <c r="B1" s="213"/>
      <c r="C1" s="218" t="s">
        <v>1679</v>
      </c>
      <c r="D1" s="219"/>
      <c r="E1" s="219"/>
      <c r="F1" s="219"/>
      <c r="G1" s="219"/>
      <c r="H1" s="219"/>
      <c r="I1" s="219"/>
      <c r="J1" s="219"/>
      <c r="K1" s="219"/>
      <c r="L1" s="219"/>
      <c r="M1" s="219"/>
      <c r="N1" s="219"/>
      <c r="O1" s="219"/>
      <c r="P1" s="219"/>
      <c r="Q1" s="219"/>
      <c r="R1" s="219"/>
      <c r="S1" s="219"/>
      <c r="T1" s="219"/>
      <c r="U1" s="219"/>
      <c r="V1" s="219"/>
      <c r="W1" s="219"/>
      <c r="X1" s="219"/>
      <c r="Y1" s="219"/>
      <c r="Z1" s="219"/>
      <c r="AA1" s="220"/>
      <c r="AB1" s="227" t="s">
        <v>1680</v>
      </c>
    </row>
    <row r="2" spans="1:59" ht="15" customHeight="1">
      <c r="A2" s="214"/>
      <c r="B2" s="215"/>
      <c r="C2" s="221"/>
      <c r="D2" s="222"/>
      <c r="E2" s="222"/>
      <c r="F2" s="222"/>
      <c r="G2" s="222"/>
      <c r="H2" s="222"/>
      <c r="I2" s="222"/>
      <c r="J2" s="222"/>
      <c r="K2" s="222"/>
      <c r="L2" s="222"/>
      <c r="M2" s="222"/>
      <c r="N2" s="222"/>
      <c r="O2" s="222"/>
      <c r="P2" s="222"/>
      <c r="Q2" s="222"/>
      <c r="R2" s="222"/>
      <c r="S2" s="222"/>
      <c r="T2" s="222"/>
      <c r="U2" s="222"/>
      <c r="V2" s="222"/>
      <c r="W2" s="222"/>
      <c r="X2" s="222"/>
      <c r="Y2" s="222"/>
      <c r="Z2" s="222"/>
      <c r="AA2" s="223"/>
      <c r="AB2" s="228"/>
    </row>
    <row r="3" spans="1:59" ht="15" customHeight="1">
      <c r="A3" s="214"/>
      <c r="B3" s="215"/>
      <c r="C3" s="221"/>
      <c r="D3" s="222"/>
      <c r="E3" s="222"/>
      <c r="F3" s="222"/>
      <c r="G3" s="222"/>
      <c r="H3" s="222"/>
      <c r="I3" s="222"/>
      <c r="J3" s="222"/>
      <c r="K3" s="222"/>
      <c r="L3" s="222"/>
      <c r="M3" s="222"/>
      <c r="N3" s="222"/>
      <c r="O3" s="222"/>
      <c r="P3" s="222"/>
      <c r="Q3" s="222"/>
      <c r="R3" s="222"/>
      <c r="S3" s="222"/>
      <c r="T3" s="222"/>
      <c r="U3" s="222"/>
      <c r="V3" s="222"/>
      <c r="W3" s="222"/>
      <c r="X3" s="222"/>
      <c r="Y3" s="222"/>
      <c r="Z3" s="222"/>
      <c r="AA3" s="223"/>
      <c r="AB3" s="227" t="s">
        <v>1681</v>
      </c>
    </row>
    <row r="4" spans="1:59" ht="15" customHeight="1">
      <c r="A4" s="214"/>
      <c r="B4" s="215"/>
      <c r="C4" s="221"/>
      <c r="D4" s="222"/>
      <c r="E4" s="222"/>
      <c r="F4" s="222"/>
      <c r="G4" s="222"/>
      <c r="H4" s="222"/>
      <c r="I4" s="222"/>
      <c r="J4" s="222"/>
      <c r="K4" s="222"/>
      <c r="L4" s="222"/>
      <c r="M4" s="222"/>
      <c r="N4" s="222"/>
      <c r="O4" s="222"/>
      <c r="P4" s="222"/>
      <c r="Q4" s="222"/>
      <c r="R4" s="222"/>
      <c r="S4" s="222"/>
      <c r="T4" s="222"/>
      <c r="U4" s="222"/>
      <c r="V4" s="222"/>
      <c r="W4" s="222"/>
      <c r="X4" s="222"/>
      <c r="Y4" s="222"/>
      <c r="Z4" s="222"/>
      <c r="AA4" s="223"/>
      <c r="AB4" s="228"/>
    </row>
    <row r="5" spans="1:59" ht="15" customHeight="1">
      <c r="A5" s="214"/>
      <c r="B5" s="215"/>
      <c r="C5" s="221"/>
      <c r="D5" s="222"/>
      <c r="E5" s="222"/>
      <c r="F5" s="222"/>
      <c r="G5" s="222"/>
      <c r="H5" s="222"/>
      <c r="I5" s="222"/>
      <c r="J5" s="222"/>
      <c r="K5" s="222"/>
      <c r="L5" s="222"/>
      <c r="M5" s="222"/>
      <c r="N5" s="222"/>
      <c r="O5" s="222"/>
      <c r="P5" s="222"/>
      <c r="Q5" s="222"/>
      <c r="R5" s="222"/>
      <c r="S5" s="222"/>
      <c r="T5" s="222"/>
      <c r="U5" s="222"/>
      <c r="V5" s="222"/>
      <c r="W5" s="222"/>
      <c r="X5" s="222"/>
      <c r="Y5" s="222"/>
      <c r="Z5" s="222"/>
      <c r="AA5" s="223"/>
      <c r="AB5" s="156"/>
    </row>
    <row r="6" spans="1:59" ht="15" customHeight="1">
      <c r="A6" s="216"/>
      <c r="B6" s="217"/>
      <c r="C6" s="224"/>
      <c r="D6" s="225"/>
      <c r="E6" s="225"/>
      <c r="F6" s="225"/>
      <c r="G6" s="225"/>
      <c r="H6" s="225"/>
      <c r="I6" s="225"/>
      <c r="J6" s="225"/>
      <c r="K6" s="225"/>
      <c r="L6" s="225"/>
      <c r="M6" s="225"/>
      <c r="N6" s="225"/>
      <c r="O6" s="225"/>
      <c r="P6" s="225"/>
      <c r="Q6" s="225"/>
      <c r="R6" s="225"/>
      <c r="S6" s="225"/>
      <c r="T6" s="225"/>
      <c r="U6" s="225"/>
      <c r="V6" s="225"/>
      <c r="W6" s="225"/>
      <c r="X6" s="225"/>
      <c r="Y6" s="225"/>
      <c r="Z6" s="225"/>
      <c r="AA6" s="226"/>
      <c r="AB6" s="157" t="s">
        <v>1682</v>
      </c>
    </row>
    <row r="7" spans="1:59" ht="15" customHeight="1">
      <c r="A7" s="158"/>
      <c r="B7" s="158"/>
      <c r="C7" s="155"/>
      <c r="D7" s="155"/>
      <c r="E7" s="155"/>
      <c r="F7" s="155"/>
      <c r="G7" s="155"/>
      <c r="H7" s="155"/>
      <c r="I7" s="155"/>
      <c r="J7" s="155"/>
      <c r="K7" s="155"/>
      <c r="L7" s="155"/>
      <c r="M7" s="155"/>
      <c r="N7" s="155"/>
      <c r="O7" s="155"/>
      <c r="P7" s="155"/>
      <c r="Q7" s="155"/>
      <c r="R7" s="155"/>
      <c r="S7" s="155"/>
      <c r="T7" s="155"/>
      <c r="U7" s="155"/>
      <c r="V7" s="155"/>
      <c r="W7" s="155"/>
      <c r="X7" s="155"/>
      <c r="Y7" s="155"/>
      <c r="Z7" s="155"/>
      <c r="AA7" s="155"/>
      <c r="AB7" s="159"/>
    </row>
    <row r="8" spans="1:59" ht="66.75" customHeight="1">
      <c r="A8" s="3" t="s">
        <v>0</v>
      </c>
      <c r="B8" s="3" t="s">
        <v>1</v>
      </c>
      <c r="C8" s="3" t="s">
        <v>2</v>
      </c>
      <c r="D8" s="3" t="s">
        <v>3</v>
      </c>
      <c r="E8" s="3" t="s">
        <v>4</v>
      </c>
      <c r="F8" s="3" t="s">
        <v>5</v>
      </c>
      <c r="G8" s="3" t="s">
        <v>6</v>
      </c>
      <c r="H8" s="3" t="s">
        <v>7</v>
      </c>
      <c r="I8" s="3" t="s">
        <v>8</v>
      </c>
      <c r="J8" s="3" t="s">
        <v>9</v>
      </c>
      <c r="K8" s="3" t="s">
        <v>10</v>
      </c>
      <c r="L8" s="3" t="s">
        <v>11</v>
      </c>
      <c r="M8" s="161" t="s">
        <v>12</v>
      </c>
      <c r="N8" s="3" t="s">
        <v>13</v>
      </c>
      <c r="O8" s="1" t="s">
        <v>14</v>
      </c>
      <c r="P8" s="3" t="s">
        <v>15</v>
      </c>
      <c r="Q8" s="3" t="s">
        <v>16</v>
      </c>
      <c r="R8" s="3" t="s">
        <v>17</v>
      </c>
      <c r="S8" s="3" t="s">
        <v>18</v>
      </c>
      <c r="T8" s="3" t="s">
        <v>19</v>
      </c>
      <c r="U8" s="162" t="s">
        <v>20</v>
      </c>
      <c r="V8" s="2" t="s">
        <v>21</v>
      </c>
      <c r="W8" s="3" t="s">
        <v>22</v>
      </c>
      <c r="X8" s="3" t="s">
        <v>23</v>
      </c>
      <c r="Y8" s="3" t="s">
        <v>24</v>
      </c>
      <c r="Z8" s="3" t="s">
        <v>25</v>
      </c>
      <c r="AA8" s="3" t="s">
        <v>26</v>
      </c>
      <c r="AB8" s="3" t="s">
        <v>27</v>
      </c>
      <c r="AC8" s="4" t="s">
        <v>28</v>
      </c>
      <c r="AD8" s="5" t="s">
        <v>29</v>
      </c>
      <c r="AE8" s="4" t="s">
        <v>30</v>
      </c>
      <c r="AF8" s="5" t="s">
        <v>31</v>
      </c>
      <c r="AG8" s="4" t="s">
        <v>32</v>
      </c>
      <c r="AH8" s="5" t="s">
        <v>33</v>
      </c>
      <c r="AI8" s="4" t="s">
        <v>34</v>
      </c>
      <c r="AJ8" s="5" t="s">
        <v>35</v>
      </c>
      <c r="AK8" s="4" t="s">
        <v>36</v>
      </c>
      <c r="AL8" s="5" t="s">
        <v>37</v>
      </c>
      <c r="AM8" s="4" t="s">
        <v>38</v>
      </c>
      <c r="AN8" s="5" t="s">
        <v>39</v>
      </c>
      <c r="AO8" s="4" t="s">
        <v>40</v>
      </c>
      <c r="AP8" s="5" t="s">
        <v>41</v>
      </c>
      <c r="AQ8" s="4" t="s">
        <v>42</v>
      </c>
      <c r="AR8" s="5" t="s">
        <v>43</v>
      </c>
      <c r="AS8" s="4" t="s">
        <v>44</v>
      </c>
      <c r="AT8" s="5" t="s">
        <v>45</v>
      </c>
      <c r="AU8" s="4" t="s">
        <v>46</v>
      </c>
      <c r="AV8" s="5" t="s">
        <v>47</v>
      </c>
      <c r="AW8" s="4" t="s">
        <v>48</v>
      </c>
      <c r="AX8" s="5" t="s">
        <v>49</v>
      </c>
      <c r="AY8" s="4" t="s">
        <v>50</v>
      </c>
      <c r="AZ8" s="5" t="s">
        <v>51</v>
      </c>
      <c r="BA8" s="6" t="s">
        <v>52</v>
      </c>
      <c r="BB8" s="7" t="s">
        <v>53</v>
      </c>
      <c r="BC8" s="8" t="s">
        <v>54</v>
      </c>
      <c r="BD8" s="5" t="s">
        <v>55</v>
      </c>
      <c r="BE8" s="9" t="s">
        <v>56</v>
      </c>
      <c r="BF8" s="9" t="s">
        <v>57</v>
      </c>
      <c r="BG8" s="9" t="s">
        <v>58</v>
      </c>
    </row>
    <row r="9" spans="1:59" ht="14.25" customHeight="1">
      <c r="A9" s="147" t="s">
        <v>59</v>
      </c>
      <c r="B9" s="147" t="s">
        <v>60</v>
      </c>
      <c r="C9" s="151" t="s">
        <v>61</v>
      </c>
      <c r="D9" s="151" t="s">
        <v>62</v>
      </c>
      <c r="E9" s="151">
        <v>48</v>
      </c>
      <c r="F9" s="149" t="s">
        <v>63</v>
      </c>
      <c r="G9" s="147" t="s">
        <v>64</v>
      </c>
      <c r="H9" s="147" t="s">
        <v>65</v>
      </c>
      <c r="I9" s="147" t="s">
        <v>66</v>
      </c>
      <c r="J9" s="164" t="s">
        <v>67</v>
      </c>
      <c r="K9" s="147" t="s">
        <v>68</v>
      </c>
      <c r="L9" s="147" t="s">
        <v>69</v>
      </c>
      <c r="M9" s="165" t="s">
        <v>70</v>
      </c>
      <c r="N9" s="147" t="s">
        <v>71</v>
      </c>
      <c r="O9" s="147" t="s">
        <v>71</v>
      </c>
      <c r="P9" s="147" t="s">
        <v>71</v>
      </c>
      <c r="Q9" s="149">
        <v>4</v>
      </c>
      <c r="R9" s="149" t="s">
        <v>72</v>
      </c>
      <c r="S9" s="149" t="s">
        <v>73</v>
      </c>
      <c r="T9" s="149" t="s">
        <v>74</v>
      </c>
      <c r="U9" s="171">
        <v>69215423</v>
      </c>
      <c r="V9" s="171">
        <v>69215423</v>
      </c>
      <c r="W9" s="149" t="s">
        <v>75</v>
      </c>
      <c r="X9" s="149" t="s">
        <v>67</v>
      </c>
      <c r="Y9" s="149" t="s">
        <v>76</v>
      </c>
      <c r="Z9" s="149" t="s">
        <v>77</v>
      </c>
      <c r="AA9" s="149">
        <v>6012220601</v>
      </c>
      <c r="AB9" s="172" t="s">
        <v>78</v>
      </c>
      <c r="AC9" s="14"/>
      <c r="AD9" s="14"/>
      <c r="AE9" s="14"/>
      <c r="AF9" s="14"/>
      <c r="AG9" s="14"/>
      <c r="AH9" s="14"/>
      <c r="AI9" s="14"/>
      <c r="AJ9" s="14"/>
      <c r="AK9" s="14"/>
      <c r="AL9" s="14"/>
      <c r="AM9" s="14"/>
      <c r="AN9" s="14"/>
      <c r="AO9" s="14"/>
      <c r="AP9" s="14"/>
      <c r="AQ9" s="14"/>
      <c r="AR9" s="14"/>
      <c r="AS9" s="14"/>
      <c r="AT9" s="10"/>
      <c r="AU9" s="15"/>
      <c r="AV9" s="15"/>
      <c r="AW9" s="15">
        <v>16200000</v>
      </c>
      <c r="AX9" s="15">
        <v>16200000</v>
      </c>
      <c r="AY9" s="16">
        <v>53015423</v>
      </c>
      <c r="AZ9" s="16">
        <v>53015423</v>
      </c>
      <c r="BA9" s="17"/>
      <c r="BB9" s="17"/>
      <c r="BC9" s="18">
        <f t="shared" ref="BC9:BD9" si="0">AC9+AE9+AG9+AI9+AK9+AM9+AO9+AQ9+AS9+AU9+AW9+AY9+BA9</f>
        <v>69215423</v>
      </c>
      <c r="BD9" s="18">
        <f t="shared" si="0"/>
        <v>69215423</v>
      </c>
      <c r="BE9" s="19">
        <f t="shared" ref="BE9:BE263" si="1">BC9-BD9</f>
        <v>0</v>
      </c>
      <c r="BF9" s="20">
        <f t="shared" ref="BF9:BF263" si="2">V9-BC9</f>
        <v>0</v>
      </c>
      <c r="BG9" s="20">
        <f t="shared" ref="BG9:BG263" si="3">V9-BD9</f>
        <v>0</v>
      </c>
    </row>
    <row r="10" spans="1:59" ht="14.25" customHeight="1">
      <c r="A10" s="147" t="s">
        <v>59</v>
      </c>
      <c r="B10" s="147" t="s">
        <v>60</v>
      </c>
      <c r="C10" s="151" t="s">
        <v>61</v>
      </c>
      <c r="D10" s="151" t="s">
        <v>62</v>
      </c>
      <c r="E10" s="151">
        <v>5</v>
      </c>
      <c r="F10" s="149" t="s">
        <v>79</v>
      </c>
      <c r="G10" s="147" t="s">
        <v>64</v>
      </c>
      <c r="H10" s="149" t="s">
        <v>80</v>
      </c>
      <c r="I10" s="149" t="s">
        <v>81</v>
      </c>
      <c r="J10" s="173">
        <v>80111620</v>
      </c>
      <c r="K10" s="149" t="s">
        <v>82</v>
      </c>
      <c r="L10" s="149" t="s">
        <v>83</v>
      </c>
      <c r="M10" s="149" t="s">
        <v>84</v>
      </c>
      <c r="N10" s="147" t="s">
        <v>85</v>
      </c>
      <c r="O10" s="147" t="s">
        <v>86</v>
      </c>
      <c r="P10" s="149" t="s">
        <v>86</v>
      </c>
      <c r="Q10" s="149">
        <v>7.5</v>
      </c>
      <c r="R10" s="149" t="s">
        <v>72</v>
      </c>
      <c r="S10" s="149" t="s">
        <v>73</v>
      </c>
      <c r="T10" s="149" t="s">
        <v>74</v>
      </c>
      <c r="U10" s="174">
        <v>78900000</v>
      </c>
      <c r="V10" s="175">
        <v>78900000</v>
      </c>
      <c r="W10" s="149" t="s">
        <v>75</v>
      </c>
      <c r="X10" s="149" t="s">
        <v>67</v>
      </c>
      <c r="Y10" s="149" t="s">
        <v>76</v>
      </c>
      <c r="Z10" s="149" t="s">
        <v>77</v>
      </c>
      <c r="AA10" s="149">
        <v>6012220601</v>
      </c>
      <c r="AB10" s="172" t="s">
        <v>78</v>
      </c>
      <c r="AC10" s="14"/>
      <c r="AD10" s="14"/>
      <c r="AE10" s="14"/>
      <c r="AF10" s="14"/>
      <c r="AG10" s="14">
        <v>78900000</v>
      </c>
      <c r="AH10" s="14"/>
      <c r="AI10" s="14"/>
      <c r="AJ10" s="14">
        <v>5961332</v>
      </c>
      <c r="AK10" s="14"/>
      <c r="AL10" s="14">
        <v>10520000</v>
      </c>
      <c r="AM10" s="14"/>
      <c r="AN10" s="14">
        <v>10520000</v>
      </c>
      <c r="AO10" s="14"/>
      <c r="AP10" s="14">
        <v>10520000</v>
      </c>
      <c r="AQ10" s="14"/>
      <c r="AR10" s="14">
        <v>10520000</v>
      </c>
      <c r="AS10" s="14"/>
      <c r="AT10" s="14">
        <v>10520000</v>
      </c>
      <c r="AU10" s="22"/>
      <c r="AV10" s="22">
        <v>10520000</v>
      </c>
      <c r="AW10" s="22"/>
      <c r="AX10" s="22">
        <f>10520000-701332</f>
        <v>9818668</v>
      </c>
      <c r="AY10" s="22"/>
      <c r="AZ10" s="22"/>
      <c r="BA10" s="17"/>
      <c r="BB10" s="17"/>
      <c r="BC10" s="18">
        <f t="shared" ref="BC10:BD10" si="4">AC10+AE10+AG10+AI10+AK10+AM10+AO10+AQ10+AS10+AU10+AW10+AY10+BA10</f>
        <v>78900000</v>
      </c>
      <c r="BD10" s="18">
        <f t="shared" si="4"/>
        <v>78900000</v>
      </c>
      <c r="BE10" s="19">
        <f t="shared" si="1"/>
        <v>0</v>
      </c>
      <c r="BF10" s="20">
        <f t="shared" si="2"/>
        <v>0</v>
      </c>
      <c r="BG10" s="20">
        <f t="shared" si="3"/>
        <v>0</v>
      </c>
    </row>
    <row r="11" spans="1:59" ht="14.25" customHeight="1">
      <c r="A11" s="147" t="s">
        <v>59</v>
      </c>
      <c r="B11" s="147" t="s">
        <v>60</v>
      </c>
      <c r="C11" s="151" t="s">
        <v>61</v>
      </c>
      <c r="D11" s="151" t="s">
        <v>62</v>
      </c>
      <c r="E11" s="151">
        <v>5</v>
      </c>
      <c r="F11" s="149" t="s">
        <v>87</v>
      </c>
      <c r="G11" s="147" t="s">
        <v>64</v>
      </c>
      <c r="H11" s="149" t="s">
        <v>80</v>
      </c>
      <c r="I11" s="149" t="s">
        <v>81</v>
      </c>
      <c r="J11" s="173">
        <v>80111620</v>
      </c>
      <c r="K11" s="149" t="s">
        <v>82</v>
      </c>
      <c r="L11" s="149" t="s">
        <v>83</v>
      </c>
      <c r="M11" s="149" t="s">
        <v>88</v>
      </c>
      <c r="N11" s="147" t="s">
        <v>85</v>
      </c>
      <c r="O11" s="147" t="s">
        <v>86</v>
      </c>
      <c r="P11" s="149" t="s">
        <v>86</v>
      </c>
      <c r="Q11" s="149">
        <v>7.5</v>
      </c>
      <c r="R11" s="149" t="s">
        <v>72</v>
      </c>
      <c r="S11" s="149" t="s">
        <v>73</v>
      </c>
      <c r="T11" s="149" t="s">
        <v>74</v>
      </c>
      <c r="U11" s="174">
        <v>92068956</v>
      </c>
      <c r="V11" s="174">
        <v>92068956</v>
      </c>
      <c r="W11" s="149" t="s">
        <v>75</v>
      </c>
      <c r="X11" s="149" t="s">
        <v>67</v>
      </c>
      <c r="Y11" s="149" t="s">
        <v>76</v>
      </c>
      <c r="Z11" s="149" t="s">
        <v>77</v>
      </c>
      <c r="AA11" s="149">
        <v>6012220601</v>
      </c>
      <c r="AB11" s="172" t="s">
        <v>78</v>
      </c>
      <c r="AC11" s="14"/>
      <c r="AD11" s="14"/>
      <c r="AE11" s="14"/>
      <c r="AF11" s="14"/>
      <c r="AG11" s="14">
        <v>92068956</v>
      </c>
      <c r="AH11" s="14"/>
      <c r="AI11" s="14"/>
      <c r="AJ11" s="14">
        <v>7153600</v>
      </c>
      <c r="AK11" s="14"/>
      <c r="AL11" s="14">
        <v>12624000</v>
      </c>
      <c r="AM11" s="14"/>
      <c r="AN11" s="14">
        <v>12624000</v>
      </c>
      <c r="AO11" s="14"/>
      <c r="AP11" s="14"/>
      <c r="AQ11" s="14"/>
      <c r="AR11" s="14">
        <f>12624000+ 12624000</f>
        <v>25248000</v>
      </c>
      <c r="AS11" s="14"/>
      <c r="AT11" s="14">
        <v>12624000</v>
      </c>
      <c r="AU11" s="22"/>
      <c r="AV11" s="22">
        <v>12624000</v>
      </c>
      <c r="AW11" s="22"/>
      <c r="AX11" s="22">
        <f>8416000+13379356-12624000</f>
        <v>9171356</v>
      </c>
      <c r="AY11" s="22"/>
      <c r="AZ11" s="22"/>
      <c r="BA11" s="17"/>
      <c r="BB11" s="17"/>
      <c r="BC11" s="18">
        <f t="shared" ref="BC11:BD11" si="5">AC11+AE11+AG11+AI11+AK11+AM11+AO11+AQ11+AS11+AU11+AW11+AY11+BA11</f>
        <v>92068956</v>
      </c>
      <c r="BD11" s="18">
        <f t="shared" si="5"/>
        <v>92068956</v>
      </c>
      <c r="BE11" s="19">
        <f t="shared" si="1"/>
        <v>0</v>
      </c>
      <c r="BF11" s="20">
        <f t="shared" si="2"/>
        <v>0</v>
      </c>
      <c r="BG11" s="20">
        <f t="shared" si="3"/>
        <v>0</v>
      </c>
    </row>
    <row r="12" spans="1:59" ht="14.25" customHeight="1">
      <c r="A12" s="147" t="s">
        <v>59</v>
      </c>
      <c r="B12" s="147" t="s">
        <v>60</v>
      </c>
      <c r="C12" s="151" t="s">
        <v>61</v>
      </c>
      <c r="D12" s="151" t="s">
        <v>62</v>
      </c>
      <c r="E12" s="151">
        <v>44</v>
      </c>
      <c r="F12" s="149" t="s">
        <v>89</v>
      </c>
      <c r="G12" s="147" t="s">
        <v>64</v>
      </c>
      <c r="H12" s="149" t="s">
        <v>65</v>
      </c>
      <c r="I12" s="149" t="s">
        <v>66</v>
      </c>
      <c r="J12" s="173">
        <v>80111620</v>
      </c>
      <c r="K12" s="149" t="s">
        <v>68</v>
      </c>
      <c r="L12" s="147" t="s">
        <v>83</v>
      </c>
      <c r="M12" s="147" t="s">
        <v>90</v>
      </c>
      <c r="N12" s="147" t="s">
        <v>91</v>
      </c>
      <c r="O12" s="147" t="s">
        <v>91</v>
      </c>
      <c r="P12" s="149" t="s">
        <v>91</v>
      </c>
      <c r="Q12" s="149">
        <v>7</v>
      </c>
      <c r="R12" s="149" t="s">
        <v>72</v>
      </c>
      <c r="S12" s="149" t="s">
        <v>73</v>
      </c>
      <c r="T12" s="149" t="s">
        <v>74</v>
      </c>
      <c r="U12" s="174">
        <v>60832200</v>
      </c>
      <c r="V12" s="174">
        <v>60832200</v>
      </c>
      <c r="W12" s="149" t="s">
        <v>75</v>
      </c>
      <c r="X12" s="149" t="s">
        <v>67</v>
      </c>
      <c r="Y12" s="149" t="s">
        <v>92</v>
      </c>
      <c r="Z12" s="149" t="s">
        <v>93</v>
      </c>
      <c r="AA12" s="149">
        <v>6012220601</v>
      </c>
      <c r="AB12" s="172" t="s">
        <v>94</v>
      </c>
      <c r="AC12" s="14">
        <v>42000000</v>
      </c>
      <c r="AD12" s="14"/>
      <c r="AE12" s="14"/>
      <c r="AF12" s="14">
        <v>4600000</v>
      </c>
      <c r="AG12" s="14"/>
      <c r="AH12" s="14">
        <v>6000000</v>
      </c>
      <c r="AI12" s="14"/>
      <c r="AJ12" s="14">
        <v>6000000</v>
      </c>
      <c r="AK12" s="14"/>
      <c r="AL12" s="14">
        <v>6000000</v>
      </c>
      <c r="AM12" s="14"/>
      <c r="AN12" s="14">
        <v>6000000</v>
      </c>
      <c r="AO12" s="14"/>
      <c r="AP12" s="14">
        <v>6000000</v>
      </c>
      <c r="AQ12" s="14">
        <v>11400000</v>
      </c>
      <c r="AR12" s="14">
        <v>6000000</v>
      </c>
      <c r="AS12" s="14"/>
      <c r="AT12" s="14">
        <v>6000000</v>
      </c>
      <c r="AU12" s="24">
        <v>7432200</v>
      </c>
      <c r="AV12" s="25">
        <v>6000000</v>
      </c>
      <c r="AW12" s="25"/>
      <c r="AX12" s="25">
        <v>6000000</v>
      </c>
      <c r="AY12" s="25"/>
      <c r="AZ12" s="25">
        <v>2232200</v>
      </c>
      <c r="BA12" s="17"/>
      <c r="BB12" s="17"/>
      <c r="BC12" s="18">
        <f t="shared" ref="BC12:BD12" si="6">AC12+AE12+AG12+AI12+AK12+AM12+AO12+AQ12+AS12+AU12+AW12+AY12+BA12</f>
        <v>60832200</v>
      </c>
      <c r="BD12" s="18">
        <f t="shared" si="6"/>
        <v>60832200</v>
      </c>
      <c r="BE12" s="19">
        <f t="shared" si="1"/>
        <v>0</v>
      </c>
      <c r="BF12" s="20">
        <f t="shared" si="2"/>
        <v>0</v>
      </c>
      <c r="BG12" s="20">
        <f t="shared" si="3"/>
        <v>0</v>
      </c>
    </row>
    <row r="13" spans="1:59" ht="14.25" customHeight="1">
      <c r="A13" s="147" t="s">
        <v>59</v>
      </c>
      <c r="B13" s="147" t="s">
        <v>60</v>
      </c>
      <c r="C13" s="151" t="s">
        <v>61</v>
      </c>
      <c r="D13" s="151" t="s">
        <v>62</v>
      </c>
      <c r="E13" s="151">
        <v>47</v>
      </c>
      <c r="F13" s="149" t="s">
        <v>95</v>
      </c>
      <c r="G13" s="147" t="s">
        <v>64</v>
      </c>
      <c r="H13" s="149" t="s">
        <v>80</v>
      </c>
      <c r="I13" s="149" t="s">
        <v>96</v>
      </c>
      <c r="J13" s="173">
        <v>80131500</v>
      </c>
      <c r="K13" s="149" t="s">
        <v>82</v>
      </c>
      <c r="L13" s="147" t="s">
        <v>97</v>
      </c>
      <c r="M13" s="147" t="s">
        <v>98</v>
      </c>
      <c r="N13" s="147" t="s">
        <v>99</v>
      </c>
      <c r="O13" s="147" t="s">
        <v>99</v>
      </c>
      <c r="P13" s="149" t="s">
        <v>100</v>
      </c>
      <c r="Q13" s="149">
        <v>6</v>
      </c>
      <c r="R13" s="149" t="s">
        <v>72</v>
      </c>
      <c r="S13" s="168" t="s">
        <v>101</v>
      </c>
      <c r="T13" s="149" t="s">
        <v>74</v>
      </c>
      <c r="U13" s="175">
        <v>0</v>
      </c>
      <c r="V13" s="175">
        <v>0</v>
      </c>
      <c r="W13" s="149" t="s">
        <v>75</v>
      </c>
      <c r="X13" s="149" t="s">
        <v>67</v>
      </c>
      <c r="Y13" s="149" t="s">
        <v>102</v>
      </c>
      <c r="Z13" s="149" t="s">
        <v>103</v>
      </c>
      <c r="AA13" s="149">
        <v>6012220601</v>
      </c>
      <c r="AB13" s="172" t="s">
        <v>104</v>
      </c>
      <c r="AC13" s="14"/>
      <c r="AD13" s="14"/>
      <c r="AE13" s="14"/>
      <c r="AF13" s="14"/>
      <c r="AG13" s="14"/>
      <c r="AH13" s="14"/>
      <c r="AI13" s="14"/>
      <c r="AJ13" s="14"/>
      <c r="AK13" s="14"/>
      <c r="AL13" s="14"/>
      <c r="AM13" s="14"/>
      <c r="AN13" s="14"/>
      <c r="AO13" s="14"/>
      <c r="AP13" s="14"/>
      <c r="AQ13" s="14"/>
      <c r="AR13" s="14"/>
      <c r="AS13" s="14"/>
      <c r="AT13" s="14"/>
      <c r="AU13" s="28"/>
      <c r="AV13" s="28"/>
      <c r="AW13" s="28"/>
      <c r="AX13" s="28"/>
      <c r="AY13" s="28"/>
      <c r="AZ13" s="28"/>
      <c r="BA13" s="17"/>
      <c r="BB13" s="17"/>
      <c r="BC13" s="18">
        <f t="shared" ref="BC13:BD13" si="7">AC13+AE13+AG13+AI13+AK13+AM13+AO13+AQ13+AS13+AU13+AW13+AY13+BA13</f>
        <v>0</v>
      </c>
      <c r="BD13" s="18">
        <f t="shared" si="7"/>
        <v>0</v>
      </c>
      <c r="BE13" s="19">
        <f t="shared" si="1"/>
        <v>0</v>
      </c>
      <c r="BF13" s="20">
        <f t="shared" si="2"/>
        <v>0</v>
      </c>
      <c r="BG13" s="20">
        <f t="shared" si="3"/>
        <v>0</v>
      </c>
    </row>
    <row r="14" spans="1:59" ht="14.25" customHeight="1">
      <c r="A14" s="147" t="s">
        <v>59</v>
      </c>
      <c r="B14" s="147" t="s">
        <v>60</v>
      </c>
      <c r="C14" s="151" t="s">
        <v>61</v>
      </c>
      <c r="D14" s="151" t="s">
        <v>62</v>
      </c>
      <c r="E14" s="151">
        <v>40</v>
      </c>
      <c r="F14" s="149" t="s">
        <v>105</v>
      </c>
      <c r="G14" s="147" t="s">
        <v>64</v>
      </c>
      <c r="H14" s="149" t="s">
        <v>65</v>
      </c>
      <c r="I14" s="149" t="s">
        <v>66</v>
      </c>
      <c r="J14" s="173">
        <v>80111620</v>
      </c>
      <c r="K14" s="149" t="s">
        <v>68</v>
      </c>
      <c r="L14" s="147" t="s">
        <v>83</v>
      </c>
      <c r="M14" s="147" t="s">
        <v>106</v>
      </c>
      <c r="N14" s="147" t="s">
        <v>91</v>
      </c>
      <c r="O14" s="147" t="s">
        <v>91</v>
      </c>
      <c r="P14" s="149" t="s">
        <v>91</v>
      </c>
      <c r="Q14" s="176">
        <v>8.5</v>
      </c>
      <c r="R14" s="149" t="s">
        <v>72</v>
      </c>
      <c r="S14" s="149" t="s">
        <v>73</v>
      </c>
      <c r="T14" s="149" t="s">
        <v>74</v>
      </c>
      <c r="U14" s="171">
        <v>86765890</v>
      </c>
      <c r="V14" s="171">
        <v>86765890</v>
      </c>
      <c r="W14" s="149" t="s">
        <v>75</v>
      </c>
      <c r="X14" s="149" t="s">
        <v>67</v>
      </c>
      <c r="Y14" s="149" t="s">
        <v>76</v>
      </c>
      <c r="Z14" s="149" t="s">
        <v>77</v>
      </c>
      <c r="AA14" s="149">
        <v>6012220601</v>
      </c>
      <c r="AB14" s="172" t="s">
        <v>78</v>
      </c>
      <c r="AC14" s="14">
        <v>71142450</v>
      </c>
      <c r="AD14" s="14"/>
      <c r="AE14" s="14"/>
      <c r="AF14" s="14">
        <v>4463840</v>
      </c>
      <c r="AG14" s="14"/>
      <c r="AH14" s="14">
        <v>8369700</v>
      </c>
      <c r="AI14" s="14"/>
      <c r="AJ14" s="14">
        <v>8369700</v>
      </c>
      <c r="AK14" s="14"/>
      <c r="AL14" s="14">
        <v>8369700</v>
      </c>
      <c r="AM14" s="14"/>
      <c r="AN14" s="14">
        <v>8369700</v>
      </c>
      <c r="AO14" s="14"/>
      <c r="AP14" s="14">
        <v>8369700</v>
      </c>
      <c r="AQ14" s="14"/>
      <c r="AR14" s="14">
        <v>8369700</v>
      </c>
      <c r="AS14" s="14">
        <v>15623440</v>
      </c>
      <c r="AT14" s="14">
        <v>8369700</v>
      </c>
      <c r="AU14" s="25"/>
      <c r="AV14" s="25">
        <v>8369700</v>
      </c>
      <c r="AW14" s="25"/>
      <c r="AX14" s="25">
        <v>8369700</v>
      </c>
      <c r="AY14" s="25"/>
      <c r="AZ14" s="25">
        <v>6974750</v>
      </c>
      <c r="BA14" s="17"/>
      <c r="BB14" s="17"/>
      <c r="BC14" s="18">
        <f t="shared" ref="BC14:BD14" si="8">AC14+AE14+AG14+AI14+AK14+AM14+AO14+AQ14+AS14+AU14+AW14+AY14+BA14</f>
        <v>86765890</v>
      </c>
      <c r="BD14" s="18">
        <f t="shared" si="8"/>
        <v>86765890</v>
      </c>
      <c r="BE14" s="19">
        <f t="shared" si="1"/>
        <v>0</v>
      </c>
      <c r="BF14" s="20">
        <f t="shared" si="2"/>
        <v>0</v>
      </c>
      <c r="BG14" s="20">
        <f t="shared" si="3"/>
        <v>0</v>
      </c>
    </row>
    <row r="15" spans="1:59" ht="14.25" customHeight="1">
      <c r="A15" s="147" t="s">
        <v>59</v>
      </c>
      <c r="B15" s="147" t="s">
        <v>60</v>
      </c>
      <c r="C15" s="151" t="s">
        <v>61</v>
      </c>
      <c r="D15" s="151" t="s">
        <v>62</v>
      </c>
      <c r="E15" s="151">
        <v>40</v>
      </c>
      <c r="F15" s="149" t="s">
        <v>107</v>
      </c>
      <c r="G15" s="147" t="s">
        <v>64</v>
      </c>
      <c r="H15" s="149" t="s">
        <v>65</v>
      </c>
      <c r="I15" s="149" t="s">
        <v>66</v>
      </c>
      <c r="J15" s="173">
        <v>80111620</v>
      </c>
      <c r="K15" s="149" t="s">
        <v>68</v>
      </c>
      <c r="L15" s="147" t="s">
        <v>83</v>
      </c>
      <c r="M15" s="147" t="s">
        <v>108</v>
      </c>
      <c r="N15" s="147" t="s">
        <v>91</v>
      </c>
      <c r="O15" s="147" t="s">
        <v>91</v>
      </c>
      <c r="P15" s="149" t="s">
        <v>91</v>
      </c>
      <c r="Q15" s="149">
        <v>9</v>
      </c>
      <c r="R15" s="149" t="s">
        <v>72</v>
      </c>
      <c r="S15" s="149" t="s">
        <v>73</v>
      </c>
      <c r="T15" s="149" t="s">
        <v>74</v>
      </c>
      <c r="U15" s="171">
        <v>103500000</v>
      </c>
      <c r="V15" s="171">
        <v>103500000</v>
      </c>
      <c r="W15" s="149" t="s">
        <v>75</v>
      </c>
      <c r="X15" s="149" t="s">
        <v>67</v>
      </c>
      <c r="Y15" s="149" t="s">
        <v>76</v>
      </c>
      <c r="Z15" s="149" t="s">
        <v>77</v>
      </c>
      <c r="AA15" s="149">
        <v>6012220601</v>
      </c>
      <c r="AB15" s="172" t="s">
        <v>78</v>
      </c>
      <c r="AC15" s="14">
        <v>81000000</v>
      </c>
      <c r="AD15" s="14"/>
      <c r="AE15" s="14"/>
      <c r="AF15" s="14">
        <v>4500000</v>
      </c>
      <c r="AG15" s="14"/>
      <c r="AH15" s="14">
        <v>9000000</v>
      </c>
      <c r="AI15" s="14"/>
      <c r="AJ15" s="14">
        <v>9000000</v>
      </c>
      <c r="AK15" s="14"/>
      <c r="AL15" s="14">
        <v>9000000</v>
      </c>
      <c r="AM15" s="14"/>
      <c r="AN15" s="14">
        <v>9000000</v>
      </c>
      <c r="AO15" s="14"/>
      <c r="AP15" s="14">
        <v>9000000</v>
      </c>
      <c r="AQ15" s="14"/>
      <c r="AR15" s="14">
        <v>9000000</v>
      </c>
      <c r="AS15" s="14"/>
      <c r="AT15" s="14">
        <v>9000000</v>
      </c>
      <c r="AU15" s="25">
        <v>22500000</v>
      </c>
      <c r="AV15" s="25">
        <v>9000000</v>
      </c>
      <c r="AW15" s="25"/>
      <c r="AX15" s="25">
        <v>9000000</v>
      </c>
      <c r="AY15" s="25"/>
      <c r="AZ15" s="25">
        <v>18000000</v>
      </c>
      <c r="BA15" s="17"/>
      <c r="BB15" s="17"/>
      <c r="BC15" s="18">
        <f t="shared" ref="BC15:BD15" si="9">AC15+AE15+AG15+AI15+AK15+AM15+AO15+AQ15+AS15+AU15+AW15+AY15+BA15</f>
        <v>103500000</v>
      </c>
      <c r="BD15" s="18">
        <f t="shared" si="9"/>
        <v>103500000</v>
      </c>
      <c r="BE15" s="19">
        <f t="shared" si="1"/>
        <v>0</v>
      </c>
      <c r="BF15" s="20">
        <f t="shared" si="2"/>
        <v>0</v>
      </c>
      <c r="BG15" s="20">
        <f t="shared" si="3"/>
        <v>0</v>
      </c>
    </row>
    <row r="16" spans="1:59" ht="14.25" customHeight="1">
      <c r="A16" s="147" t="s">
        <v>59</v>
      </c>
      <c r="B16" s="147" t="s">
        <v>60</v>
      </c>
      <c r="C16" s="151" t="s">
        <v>61</v>
      </c>
      <c r="D16" s="151" t="s">
        <v>62</v>
      </c>
      <c r="E16" s="151">
        <v>40</v>
      </c>
      <c r="F16" s="149" t="s">
        <v>109</v>
      </c>
      <c r="G16" s="147" t="s">
        <v>64</v>
      </c>
      <c r="H16" s="149" t="s">
        <v>65</v>
      </c>
      <c r="I16" s="149" t="s">
        <v>66</v>
      </c>
      <c r="J16" s="173">
        <v>80111620</v>
      </c>
      <c r="K16" s="149" t="s">
        <v>68</v>
      </c>
      <c r="L16" s="147" t="s">
        <v>83</v>
      </c>
      <c r="M16" s="147" t="s">
        <v>110</v>
      </c>
      <c r="N16" s="147" t="s">
        <v>91</v>
      </c>
      <c r="O16" s="147" t="s">
        <v>91</v>
      </c>
      <c r="P16" s="149" t="s">
        <v>91</v>
      </c>
      <c r="Q16" s="149">
        <v>10</v>
      </c>
      <c r="R16" s="149" t="s">
        <v>72</v>
      </c>
      <c r="S16" s="149" t="s">
        <v>73</v>
      </c>
      <c r="T16" s="149" t="s">
        <v>74</v>
      </c>
      <c r="U16" s="171">
        <v>80733333</v>
      </c>
      <c r="V16" s="171">
        <v>80733333</v>
      </c>
      <c r="W16" s="149" t="s">
        <v>75</v>
      </c>
      <c r="X16" s="149" t="s">
        <v>67</v>
      </c>
      <c r="Y16" s="149" t="s">
        <v>111</v>
      </c>
      <c r="Z16" s="149" t="s">
        <v>112</v>
      </c>
      <c r="AA16" s="149">
        <v>6012220601</v>
      </c>
      <c r="AB16" s="172" t="s">
        <v>113</v>
      </c>
      <c r="AC16" s="14">
        <v>70000000</v>
      </c>
      <c r="AD16" s="14"/>
      <c r="AE16" s="14"/>
      <c r="AF16" s="14">
        <v>3733333</v>
      </c>
      <c r="AG16" s="14"/>
      <c r="AH16" s="14">
        <v>7000000</v>
      </c>
      <c r="AI16" s="14"/>
      <c r="AJ16" s="14">
        <v>7000000</v>
      </c>
      <c r="AK16" s="14"/>
      <c r="AL16" s="14">
        <v>7000000</v>
      </c>
      <c r="AM16" s="14"/>
      <c r="AN16" s="14">
        <v>7000000</v>
      </c>
      <c r="AO16" s="14"/>
      <c r="AP16" s="14">
        <v>7000000</v>
      </c>
      <c r="AQ16" s="14"/>
      <c r="AR16" s="14">
        <v>7000000</v>
      </c>
      <c r="AS16" s="14"/>
      <c r="AT16" s="14">
        <v>7000000</v>
      </c>
      <c r="AU16" s="25">
        <v>10733333</v>
      </c>
      <c r="AV16" s="25">
        <v>7000000</v>
      </c>
      <c r="AW16" s="25"/>
      <c r="AX16" s="25">
        <v>7000000</v>
      </c>
      <c r="AY16" s="25"/>
      <c r="AZ16" s="25">
        <v>14000000</v>
      </c>
      <c r="BA16" s="17"/>
      <c r="BB16" s="17"/>
      <c r="BC16" s="18">
        <f t="shared" ref="BC16:BD16" si="10">AC16+AE16+AG16+AI16+AK16+AM16+AO16+AQ16+AS16+AU16+AW16+AY16+BA16</f>
        <v>80733333</v>
      </c>
      <c r="BD16" s="18">
        <f t="shared" si="10"/>
        <v>80733333</v>
      </c>
      <c r="BE16" s="19">
        <f t="shared" si="1"/>
        <v>0</v>
      </c>
      <c r="BF16" s="20">
        <f t="shared" si="2"/>
        <v>0</v>
      </c>
      <c r="BG16" s="20">
        <f t="shared" si="3"/>
        <v>0</v>
      </c>
    </row>
    <row r="17" spans="1:59" ht="17.25" customHeight="1">
      <c r="A17" s="147" t="s">
        <v>59</v>
      </c>
      <c r="B17" s="147" t="s">
        <v>60</v>
      </c>
      <c r="C17" s="151" t="s">
        <v>61</v>
      </c>
      <c r="D17" s="151" t="s">
        <v>62</v>
      </c>
      <c r="E17" s="151" t="s">
        <v>114</v>
      </c>
      <c r="F17" s="149" t="s">
        <v>115</v>
      </c>
      <c r="G17" s="147" t="s">
        <v>64</v>
      </c>
      <c r="H17" s="149" t="s">
        <v>65</v>
      </c>
      <c r="I17" s="149" t="s">
        <v>66</v>
      </c>
      <c r="J17" s="173">
        <v>80111620</v>
      </c>
      <c r="K17" s="149" t="s">
        <v>68</v>
      </c>
      <c r="L17" s="147" t="s">
        <v>83</v>
      </c>
      <c r="M17" s="147" t="s">
        <v>116</v>
      </c>
      <c r="N17" s="147" t="s">
        <v>91</v>
      </c>
      <c r="O17" s="147" t="s">
        <v>91</v>
      </c>
      <c r="P17" s="149" t="s">
        <v>91</v>
      </c>
      <c r="Q17" s="149">
        <v>10.5</v>
      </c>
      <c r="R17" s="149" t="s">
        <v>72</v>
      </c>
      <c r="S17" s="149" t="s">
        <v>73</v>
      </c>
      <c r="T17" s="149" t="s">
        <v>74</v>
      </c>
      <c r="U17" s="174">
        <v>44191291</v>
      </c>
      <c r="V17" s="175">
        <v>44191291</v>
      </c>
      <c r="W17" s="149" t="s">
        <v>75</v>
      </c>
      <c r="X17" s="149" t="s">
        <v>67</v>
      </c>
      <c r="Y17" s="149" t="s">
        <v>111</v>
      </c>
      <c r="Z17" s="149" t="s">
        <v>112</v>
      </c>
      <c r="AA17" s="149">
        <v>6012220601</v>
      </c>
      <c r="AB17" s="172" t="s">
        <v>113</v>
      </c>
      <c r="AC17" s="14">
        <f>89250000-83300000</f>
        <v>5950000</v>
      </c>
      <c r="AD17" s="14"/>
      <c r="AE17" s="14"/>
      <c r="AF17" s="14">
        <v>5950000</v>
      </c>
      <c r="AG17" s="14">
        <f>38241291</f>
        <v>38241291</v>
      </c>
      <c r="AH17" s="14">
        <v>8500000</v>
      </c>
      <c r="AI17" s="14"/>
      <c r="AJ17" s="14">
        <v>8500000</v>
      </c>
      <c r="AK17" s="14"/>
      <c r="AL17" s="14">
        <v>8500000</v>
      </c>
      <c r="AM17" s="14"/>
      <c r="AN17" s="14"/>
      <c r="AO17" s="14"/>
      <c r="AP17" s="14"/>
      <c r="AQ17" s="14"/>
      <c r="AR17" s="14"/>
      <c r="AS17" s="14"/>
      <c r="AT17" s="14"/>
      <c r="AU17" s="25"/>
      <c r="AV17" s="25"/>
      <c r="AW17" s="25"/>
      <c r="AX17" s="29">
        <v>5941291</v>
      </c>
      <c r="AY17" s="25"/>
      <c r="AZ17" s="28">
        <v>6800000</v>
      </c>
      <c r="BA17" s="17"/>
      <c r="BB17" s="17"/>
      <c r="BC17" s="18">
        <f t="shared" ref="BC17:BD17" si="11">AC17+AE17+AG17+AI17+AK17+AM17+AO17+AQ17+AS17+AU17+AW17+AY17+BA17</f>
        <v>44191291</v>
      </c>
      <c r="BD17" s="18">
        <f t="shared" si="11"/>
        <v>44191291</v>
      </c>
      <c r="BE17" s="19">
        <f t="shared" si="1"/>
        <v>0</v>
      </c>
      <c r="BF17" s="20">
        <f t="shared" si="2"/>
        <v>0</v>
      </c>
      <c r="BG17" s="20">
        <f t="shared" si="3"/>
        <v>0</v>
      </c>
    </row>
    <row r="18" spans="1:59" ht="18.75" customHeight="1">
      <c r="A18" s="147" t="s">
        <v>59</v>
      </c>
      <c r="B18" s="147" t="s">
        <v>60</v>
      </c>
      <c r="C18" s="151" t="s">
        <v>61</v>
      </c>
      <c r="D18" s="151" t="s">
        <v>62</v>
      </c>
      <c r="E18" s="151">
        <v>32</v>
      </c>
      <c r="F18" s="149" t="s">
        <v>117</v>
      </c>
      <c r="G18" s="147" t="s">
        <v>64</v>
      </c>
      <c r="H18" s="149" t="s">
        <v>65</v>
      </c>
      <c r="I18" s="149" t="s">
        <v>66</v>
      </c>
      <c r="J18" s="173">
        <v>80111620</v>
      </c>
      <c r="K18" s="149" t="s">
        <v>68</v>
      </c>
      <c r="L18" s="147" t="s">
        <v>83</v>
      </c>
      <c r="M18" s="147" t="s">
        <v>118</v>
      </c>
      <c r="N18" s="147" t="s">
        <v>91</v>
      </c>
      <c r="O18" s="147" t="s">
        <v>91</v>
      </c>
      <c r="P18" s="149" t="s">
        <v>91</v>
      </c>
      <c r="Q18" s="149">
        <v>10.5</v>
      </c>
      <c r="R18" s="149" t="s">
        <v>72</v>
      </c>
      <c r="S18" s="149" t="s">
        <v>73</v>
      </c>
      <c r="T18" s="149" t="s">
        <v>74</v>
      </c>
      <c r="U18" s="174">
        <v>45058709</v>
      </c>
      <c r="V18" s="174">
        <v>45058709</v>
      </c>
      <c r="W18" s="149" t="s">
        <v>75</v>
      </c>
      <c r="X18" s="149" t="s">
        <v>67</v>
      </c>
      <c r="Y18" s="149" t="s">
        <v>111</v>
      </c>
      <c r="Z18" s="149" t="s">
        <v>112</v>
      </c>
      <c r="AA18" s="149">
        <v>6012220601</v>
      </c>
      <c r="AB18" s="172" t="s">
        <v>113</v>
      </c>
      <c r="AC18" s="14"/>
      <c r="AD18" s="14"/>
      <c r="AE18" s="14"/>
      <c r="AF18" s="14"/>
      <c r="AG18" s="14">
        <v>45058709</v>
      </c>
      <c r="AH18" s="14"/>
      <c r="AI18" s="14"/>
      <c r="AJ18" s="14"/>
      <c r="AK18" s="14"/>
      <c r="AL18" s="14"/>
      <c r="AM18" s="14"/>
      <c r="AN18" s="14">
        <v>8500000</v>
      </c>
      <c r="AO18" s="14"/>
      <c r="AP18" s="14">
        <v>8500000</v>
      </c>
      <c r="AQ18" s="14"/>
      <c r="AR18" s="14">
        <v>8500000</v>
      </c>
      <c r="AS18" s="14"/>
      <c r="AT18" s="14">
        <v>8500000</v>
      </c>
      <c r="AU18" s="25"/>
      <c r="AV18" s="25">
        <v>8500000</v>
      </c>
      <c r="AW18" s="25"/>
      <c r="AX18" s="30">
        <v>2558709</v>
      </c>
      <c r="AY18" s="25"/>
      <c r="AZ18" s="25"/>
      <c r="BA18" s="17"/>
      <c r="BB18" s="17"/>
      <c r="BC18" s="18">
        <f t="shared" ref="BC18:BD18" si="12">AC18+AE18+AG18+AI18+AK18+AM18+AO18+AQ18+AS18+AU18+AW18+AY18+BA18</f>
        <v>45058709</v>
      </c>
      <c r="BD18" s="18">
        <f t="shared" si="12"/>
        <v>45058709</v>
      </c>
      <c r="BE18" s="19">
        <f t="shared" si="1"/>
        <v>0</v>
      </c>
      <c r="BF18" s="20">
        <f t="shared" si="2"/>
        <v>0</v>
      </c>
      <c r="BG18" s="20">
        <f t="shared" si="3"/>
        <v>0</v>
      </c>
    </row>
    <row r="19" spans="1:59" ht="16.5" customHeight="1">
      <c r="A19" s="147" t="s">
        <v>59</v>
      </c>
      <c r="B19" s="147" t="s">
        <v>60</v>
      </c>
      <c r="C19" s="151" t="s">
        <v>61</v>
      </c>
      <c r="D19" s="151" t="s">
        <v>62</v>
      </c>
      <c r="E19" s="151">
        <v>32</v>
      </c>
      <c r="F19" s="149" t="s">
        <v>119</v>
      </c>
      <c r="G19" s="147" t="s">
        <v>64</v>
      </c>
      <c r="H19" s="149" t="s">
        <v>65</v>
      </c>
      <c r="I19" s="149" t="s">
        <v>66</v>
      </c>
      <c r="J19" s="173">
        <v>80111620</v>
      </c>
      <c r="K19" s="149" t="s">
        <v>68</v>
      </c>
      <c r="L19" s="147" t="s">
        <v>83</v>
      </c>
      <c r="M19" s="147" t="s">
        <v>120</v>
      </c>
      <c r="N19" s="147" t="s">
        <v>91</v>
      </c>
      <c r="O19" s="147" t="s">
        <v>91</v>
      </c>
      <c r="P19" s="149" t="s">
        <v>91</v>
      </c>
      <c r="Q19" s="149">
        <v>11.5</v>
      </c>
      <c r="R19" s="149" t="s">
        <v>72</v>
      </c>
      <c r="S19" s="149" t="s">
        <v>73</v>
      </c>
      <c r="T19" s="149" t="s">
        <v>74</v>
      </c>
      <c r="U19" s="174">
        <v>126500000</v>
      </c>
      <c r="V19" s="174">
        <v>126500000</v>
      </c>
      <c r="W19" s="149" t="s">
        <v>75</v>
      </c>
      <c r="X19" s="149" t="s">
        <v>67</v>
      </c>
      <c r="Y19" s="149" t="s">
        <v>111</v>
      </c>
      <c r="Z19" s="149" t="s">
        <v>112</v>
      </c>
      <c r="AA19" s="149">
        <v>6012220601</v>
      </c>
      <c r="AB19" s="172" t="s">
        <v>113</v>
      </c>
      <c r="AC19" s="14">
        <v>126500000</v>
      </c>
      <c r="AD19" s="14"/>
      <c r="AE19" s="14"/>
      <c r="AF19" s="14">
        <v>8433333</v>
      </c>
      <c r="AG19" s="14"/>
      <c r="AH19" s="14">
        <v>11000000</v>
      </c>
      <c r="AI19" s="14"/>
      <c r="AJ19" s="14">
        <v>11000000</v>
      </c>
      <c r="AK19" s="14"/>
      <c r="AL19" s="14">
        <v>11000000</v>
      </c>
      <c r="AM19" s="14"/>
      <c r="AN19" s="14">
        <v>11000000</v>
      </c>
      <c r="AO19" s="14"/>
      <c r="AP19" s="14">
        <v>11000000</v>
      </c>
      <c r="AQ19" s="14"/>
      <c r="AR19" s="14">
        <v>11000000</v>
      </c>
      <c r="AS19" s="14"/>
      <c r="AT19" s="14">
        <v>11000000</v>
      </c>
      <c r="AU19" s="25"/>
      <c r="AV19" s="25">
        <v>11000000</v>
      </c>
      <c r="AW19" s="25"/>
      <c r="AX19" s="25">
        <v>11000000</v>
      </c>
      <c r="AY19" s="25"/>
      <c r="AZ19" s="25">
        <v>19066667</v>
      </c>
      <c r="BA19" s="17"/>
      <c r="BB19" s="17"/>
      <c r="BC19" s="18">
        <f t="shared" ref="BC19:BD19" si="13">AC19+AE19+AG19+AI19+AK19+AM19+AO19+AQ19+AS19+AU19+AW19+AY19+BA19</f>
        <v>126500000</v>
      </c>
      <c r="BD19" s="18">
        <f t="shared" si="13"/>
        <v>126500000</v>
      </c>
      <c r="BE19" s="19">
        <f t="shared" si="1"/>
        <v>0</v>
      </c>
      <c r="BF19" s="20">
        <f t="shared" si="2"/>
        <v>0</v>
      </c>
      <c r="BG19" s="20">
        <f t="shared" si="3"/>
        <v>0</v>
      </c>
    </row>
    <row r="20" spans="1:59" ht="14.25" customHeight="1">
      <c r="A20" s="147" t="s">
        <v>59</v>
      </c>
      <c r="B20" s="147" t="s">
        <v>60</v>
      </c>
      <c r="C20" s="151" t="s">
        <v>61</v>
      </c>
      <c r="D20" s="151" t="s">
        <v>62</v>
      </c>
      <c r="E20" s="151" t="s">
        <v>114</v>
      </c>
      <c r="F20" s="149" t="s">
        <v>121</v>
      </c>
      <c r="G20" s="147" t="s">
        <v>64</v>
      </c>
      <c r="H20" s="149" t="s">
        <v>65</v>
      </c>
      <c r="I20" s="149" t="s">
        <v>66</v>
      </c>
      <c r="J20" s="173">
        <v>80111620</v>
      </c>
      <c r="K20" s="149" t="s">
        <v>68</v>
      </c>
      <c r="L20" s="147" t="s">
        <v>83</v>
      </c>
      <c r="M20" s="147" t="s">
        <v>122</v>
      </c>
      <c r="N20" s="147" t="s">
        <v>91</v>
      </c>
      <c r="O20" s="147" t="s">
        <v>91</v>
      </c>
      <c r="P20" s="149" t="s">
        <v>91</v>
      </c>
      <c r="Q20" s="149">
        <v>11.5</v>
      </c>
      <c r="R20" s="149" t="s">
        <v>72</v>
      </c>
      <c r="S20" s="149" t="s">
        <v>73</v>
      </c>
      <c r="T20" s="149" t="s">
        <v>74</v>
      </c>
      <c r="U20" s="174">
        <v>29398747</v>
      </c>
      <c r="V20" s="175">
        <v>29398747</v>
      </c>
      <c r="W20" s="149" t="s">
        <v>75</v>
      </c>
      <c r="X20" s="149" t="s">
        <v>67</v>
      </c>
      <c r="Y20" s="149" t="s">
        <v>76</v>
      </c>
      <c r="Z20" s="149" t="s">
        <v>77</v>
      </c>
      <c r="AA20" s="149">
        <v>6012220601</v>
      </c>
      <c r="AB20" s="172" t="s">
        <v>78</v>
      </c>
      <c r="AC20" s="14">
        <v>29398742</v>
      </c>
      <c r="AD20" s="14"/>
      <c r="AE20" s="14"/>
      <c r="AF20" s="14">
        <v>2895499</v>
      </c>
      <c r="AG20" s="14"/>
      <c r="AH20" s="14">
        <v>5429062</v>
      </c>
      <c r="AI20" s="14"/>
      <c r="AJ20" s="14">
        <v>5429062</v>
      </c>
      <c r="AK20" s="14"/>
      <c r="AL20" s="14">
        <v>5429062</v>
      </c>
      <c r="AM20" s="14"/>
      <c r="AN20" s="14">
        <v>5429062</v>
      </c>
      <c r="AO20" s="14"/>
      <c r="AP20" s="14"/>
      <c r="AQ20" s="14"/>
      <c r="AR20" s="14"/>
      <c r="AS20" s="14"/>
      <c r="AT20" s="14"/>
      <c r="AU20" s="25"/>
      <c r="AV20" s="25"/>
      <c r="AW20" s="25"/>
      <c r="AX20" s="25"/>
      <c r="AY20" s="28">
        <v>5</v>
      </c>
      <c r="AZ20" s="28">
        <f>4786995+5</f>
        <v>4787000</v>
      </c>
      <c r="BA20" s="17"/>
      <c r="BB20" s="17"/>
      <c r="BC20" s="18">
        <f t="shared" ref="BC20:BD20" si="14">AC20+AE20+AG20+AI20+AK20+AM20+AO20+AQ20+AS20+AU20+AW20+AY20+BA20</f>
        <v>29398747</v>
      </c>
      <c r="BD20" s="18">
        <f t="shared" si="14"/>
        <v>29398747</v>
      </c>
      <c r="BE20" s="19">
        <f t="shared" si="1"/>
        <v>0</v>
      </c>
      <c r="BF20" s="20">
        <f t="shared" si="2"/>
        <v>0</v>
      </c>
      <c r="BG20" s="20">
        <f t="shared" si="3"/>
        <v>0</v>
      </c>
    </row>
    <row r="21" spans="1:59" ht="14.25" customHeight="1">
      <c r="A21" s="147" t="s">
        <v>59</v>
      </c>
      <c r="B21" s="147" t="s">
        <v>60</v>
      </c>
      <c r="C21" s="151" t="s">
        <v>61</v>
      </c>
      <c r="D21" s="151" t="s">
        <v>62</v>
      </c>
      <c r="E21" s="151" t="s">
        <v>114</v>
      </c>
      <c r="F21" s="149" t="s">
        <v>123</v>
      </c>
      <c r="G21" s="147" t="s">
        <v>64</v>
      </c>
      <c r="H21" s="149" t="s">
        <v>65</v>
      </c>
      <c r="I21" s="149" t="s">
        <v>66</v>
      </c>
      <c r="J21" s="173">
        <v>80111620</v>
      </c>
      <c r="K21" s="149" t="s">
        <v>68</v>
      </c>
      <c r="L21" s="149" t="s">
        <v>83</v>
      </c>
      <c r="M21" s="149" t="s">
        <v>124</v>
      </c>
      <c r="N21" s="147" t="s">
        <v>91</v>
      </c>
      <c r="O21" s="147" t="s">
        <v>91</v>
      </c>
      <c r="P21" s="149" t="s">
        <v>91</v>
      </c>
      <c r="Q21" s="149">
        <v>11.5</v>
      </c>
      <c r="R21" s="149" t="s">
        <v>72</v>
      </c>
      <c r="S21" s="149" t="s">
        <v>73</v>
      </c>
      <c r="T21" s="149" t="s">
        <v>74</v>
      </c>
      <c r="U21" s="175">
        <v>33035471</v>
      </c>
      <c r="V21" s="175">
        <v>33035471</v>
      </c>
      <c r="W21" s="149" t="s">
        <v>75</v>
      </c>
      <c r="X21" s="149" t="s">
        <v>67</v>
      </c>
      <c r="Y21" s="149" t="s">
        <v>76</v>
      </c>
      <c r="Z21" s="149" t="s">
        <v>77</v>
      </c>
      <c r="AA21" s="149">
        <v>6012220601</v>
      </c>
      <c r="AB21" s="172" t="s">
        <v>78</v>
      </c>
      <c r="AC21" s="14">
        <v>33035471</v>
      </c>
      <c r="AD21" s="14"/>
      <c r="AE21" s="14"/>
      <c r="AF21" s="14"/>
      <c r="AG21" s="14"/>
      <c r="AH21" s="14"/>
      <c r="AI21" s="14"/>
      <c r="AJ21" s="14"/>
      <c r="AK21" s="14"/>
      <c r="AL21" s="14"/>
      <c r="AM21" s="14"/>
      <c r="AN21" s="14"/>
      <c r="AO21" s="14"/>
      <c r="AP21" s="14">
        <v>5429062</v>
      </c>
      <c r="AQ21" s="14"/>
      <c r="AR21" s="14">
        <v>5429062</v>
      </c>
      <c r="AS21" s="14"/>
      <c r="AT21" s="14">
        <v>5429062</v>
      </c>
      <c r="AU21" s="25"/>
      <c r="AV21" s="25">
        <v>5429062</v>
      </c>
      <c r="AW21" s="25"/>
      <c r="AX21" s="25">
        <v>5429062</v>
      </c>
      <c r="AY21" s="25"/>
      <c r="AZ21" s="25">
        <f>10854536-4964375</f>
        <v>5890161</v>
      </c>
      <c r="BA21" s="17"/>
      <c r="BB21" s="17"/>
      <c r="BC21" s="18">
        <f t="shared" ref="BC21:BD21" si="15">AC21+AE21+AG21+AI21+AK21+AM21+AO21+AQ21+AS21+AU21+AW21+AY21+BA21</f>
        <v>33035471</v>
      </c>
      <c r="BD21" s="18">
        <f t="shared" si="15"/>
        <v>33035471</v>
      </c>
      <c r="BE21" s="19">
        <f t="shared" si="1"/>
        <v>0</v>
      </c>
      <c r="BF21" s="20">
        <f t="shared" si="2"/>
        <v>0</v>
      </c>
      <c r="BG21" s="20">
        <f t="shared" si="3"/>
        <v>0</v>
      </c>
    </row>
    <row r="22" spans="1:59" ht="14.25" customHeight="1">
      <c r="A22" s="147" t="s">
        <v>59</v>
      </c>
      <c r="B22" s="147" t="s">
        <v>60</v>
      </c>
      <c r="C22" s="151" t="s">
        <v>61</v>
      </c>
      <c r="D22" s="151" t="s">
        <v>62</v>
      </c>
      <c r="E22" s="151">
        <v>32</v>
      </c>
      <c r="F22" s="149" t="s">
        <v>125</v>
      </c>
      <c r="G22" s="147" t="s">
        <v>64</v>
      </c>
      <c r="H22" s="149" t="s">
        <v>80</v>
      </c>
      <c r="I22" s="149" t="s">
        <v>96</v>
      </c>
      <c r="J22" s="173">
        <v>80111620</v>
      </c>
      <c r="K22" s="149" t="s">
        <v>82</v>
      </c>
      <c r="L22" s="147" t="s">
        <v>83</v>
      </c>
      <c r="M22" s="149" t="s">
        <v>126</v>
      </c>
      <c r="N22" s="147" t="s">
        <v>127</v>
      </c>
      <c r="O22" s="147" t="s">
        <v>127</v>
      </c>
      <c r="P22" s="149" t="s">
        <v>128</v>
      </c>
      <c r="Q22" s="149">
        <v>6</v>
      </c>
      <c r="R22" s="149" t="s">
        <v>72</v>
      </c>
      <c r="S22" s="149" t="s">
        <v>129</v>
      </c>
      <c r="T22" s="149" t="s">
        <v>74</v>
      </c>
      <c r="U22" s="175">
        <v>0</v>
      </c>
      <c r="V22" s="175">
        <v>0</v>
      </c>
      <c r="W22" s="149" t="s">
        <v>75</v>
      </c>
      <c r="X22" s="149" t="s">
        <v>67</v>
      </c>
      <c r="Y22" s="149" t="s">
        <v>76</v>
      </c>
      <c r="Z22" s="149" t="s">
        <v>77</v>
      </c>
      <c r="AA22" s="149">
        <v>6012220601</v>
      </c>
      <c r="AB22" s="172" t="s">
        <v>78</v>
      </c>
      <c r="AC22" s="14"/>
      <c r="AD22" s="14"/>
      <c r="AE22" s="14"/>
      <c r="AF22" s="14"/>
      <c r="AG22" s="14"/>
      <c r="AH22" s="14"/>
      <c r="AI22" s="14"/>
      <c r="AJ22" s="14"/>
      <c r="AK22" s="14"/>
      <c r="AL22" s="14"/>
      <c r="AM22" s="14"/>
      <c r="AN22" s="14"/>
      <c r="AO22" s="14"/>
      <c r="AP22" s="14"/>
      <c r="AQ22" s="14"/>
      <c r="AR22" s="14"/>
      <c r="AS22" s="14"/>
      <c r="AT22" s="14"/>
      <c r="AU22" s="25"/>
      <c r="AV22" s="25"/>
      <c r="AW22" s="25"/>
      <c r="AX22" s="25"/>
      <c r="AY22" s="25"/>
      <c r="AZ22" s="25"/>
      <c r="BA22" s="17"/>
      <c r="BB22" s="17"/>
      <c r="BC22" s="18">
        <f t="shared" ref="BC22:BD22" si="16">AC22+AE22+AG22+AI22+AK22+AM22+AO22+AQ22+AS22+AU22+AW22+AY22+BA22</f>
        <v>0</v>
      </c>
      <c r="BD22" s="18">
        <f t="shared" si="16"/>
        <v>0</v>
      </c>
      <c r="BE22" s="19">
        <f t="shared" si="1"/>
        <v>0</v>
      </c>
      <c r="BF22" s="20">
        <f t="shared" si="2"/>
        <v>0</v>
      </c>
      <c r="BG22" s="20">
        <f t="shared" si="3"/>
        <v>0</v>
      </c>
    </row>
    <row r="23" spans="1:59" ht="14.25" customHeight="1">
      <c r="A23" s="147" t="s">
        <v>59</v>
      </c>
      <c r="B23" s="147" t="s">
        <v>60</v>
      </c>
      <c r="C23" s="151" t="s">
        <v>61</v>
      </c>
      <c r="D23" s="151" t="s">
        <v>62</v>
      </c>
      <c r="E23" s="151">
        <v>6</v>
      </c>
      <c r="F23" s="149" t="s">
        <v>130</v>
      </c>
      <c r="G23" s="147" t="s">
        <v>64</v>
      </c>
      <c r="H23" s="149" t="s">
        <v>80</v>
      </c>
      <c r="I23" s="149" t="s">
        <v>96</v>
      </c>
      <c r="J23" s="173">
        <v>80111620</v>
      </c>
      <c r="K23" s="149" t="s">
        <v>82</v>
      </c>
      <c r="L23" s="147" t="s">
        <v>131</v>
      </c>
      <c r="M23" s="147" t="s">
        <v>132</v>
      </c>
      <c r="N23" s="147" t="s">
        <v>99</v>
      </c>
      <c r="O23" s="147" t="s">
        <v>99</v>
      </c>
      <c r="P23" s="147" t="s">
        <v>99</v>
      </c>
      <c r="Q23" s="147">
        <v>9</v>
      </c>
      <c r="R23" s="147" t="s">
        <v>72</v>
      </c>
      <c r="S23" s="147" t="s">
        <v>133</v>
      </c>
      <c r="T23" s="147" t="s">
        <v>74</v>
      </c>
      <c r="U23" s="167">
        <v>134447258</v>
      </c>
      <c r="V23" s="148">
        <v>134447258</v>
      </c>
      <c r="W23" s="147" t="s">
        <v>75</v>
      </c>
      <c r="X23" s="147" t="s">
        <v>67</v>
      </c>
      <c r="Y23" s="147" t="s">
        <v>76</v>
      </c>
      <c r="Z23" s="149" t="s">
        <v>77</v>
      </c>
      <c r="AA23" s="149">
        <v>6012220601</v>
      </c>
      <c r="AB23" s="160" t="s">
        <v>78</v>
      </c>
      <c r="AC23" s="14"/>
      <c r="AD23" s="14"/>
      <c r="AE23" s="14"/>
      <c r="AF23" s="14"/>
      <c r="AG23" s="14">
        <v>134447258</v>
      </c>
      <c r="AH23" s="14"/>
      <c r="AI23" s="14"/>
      <c r="AJ23" s="14"/>
      <c r="AK23" s="14"/>
      <c r="AL23" s="14"/>
      <c r="AM23" s="14"/>
      <c r="AN23" s="14"/>
      <c r="AO23" s="14"/>
      <c r="AP23" s="14"/>
      <c r="AQ23" s="14"/>
      <c r="AR23" s="14"/>
      <c r="AS23" s="14"/>
      <c r="AT23" s="14"/>
      <c r="AU23" s="25"/>
      <c r="AV23" s="28">
        <v>53778903</v>
      </c>
      <c r="AW23" s="25"/>
      <c r="AX23" s="28">
        <v>53778903</v>
      </c>
      <c r="AY23" s="25"/>
      <c r="AZ23" s="28">
        <v>26889452</v>
      </c>
      <c r="BA23" s="17"/>
      <c r="BB23" s="17"/>
      <c r="BC23" s="18">
        <f t="shared" ref="BC23:BD23" si="17">AC23+AE23+AG23+AI23+AK23+AM23+AO23+AQ23+AS23+AU23+AW23+AY23+BA23</f>
        <v>134447258</v>
      </c>
      <c r="BD23" s="18">
        <f t="shared" si="17"/>
        <v>134447258</v>
      </c>
      <c r="BE23" s="19">
        <f t="shared" si="1"/>
        <v>0</v>
      </c>
      <c r="BF23" s="20">
        <f t="shared" si="2"/>
        <v>0</v>
      </c>
      <c r="BG23" s="20">
        <f t="shared" si="3"/>
        <v>0</v>
      </c>
    </row>
    <row r="24" spans="1:59" ht="14.25" customHeight="1">
      <c r="A24" s="147" t="s">
        <v>59</v>
      </c>
      <c r="B24" s="147" t="s">
        <v>60</v>
      </c>
      <c r="C24" s="151" t="s">
        <v>61</v>
      </c>
      <c r="D24" s="151" t="s">
        <v>62</v>
      </c>
      <c r="E24" s="151">
        <v>32</v>
      </c>
      <c r="F24" s="149" t="s">
        <v>134</v>
      </c>
      <c r="G24" s="147" t="s">
        <v>64</v>
      </c>
      <c r="H24" s="149" t="s">
        <v>80</v>
      </c>
      <c r="I24" s="149" t="s">
        <v>96</v>
      </c>
      <c r="J24" s="173">
        <v>80111620</v>
      </c>
      <c r="K24" s="149" t="s">
        <v>82</v>
      </c>
      <c r="L24" s="147" t="s">
        <v>83</v>
      </c>
      <c r="M24" s="147" t="s">
        <v>135</v>
      </c>
      <c r="N24" s="147" t="s">
        <v>91</v>
      </c>
      <c r="O24" s="147" t="s">
        <v>91</v>
      </c>
      <c r="P24" s="147" t="s">
        <v>91</v>
      </c>
      <c r="Q24" s="147">
        <v>3</v>
      </c>
      <c r="R24" s="147" t="s">
        <v>72</v>
      </c>
      <c r="S24" s="147" t="s">
        <v>73</v>
      </c>
      <c r="T24" s="147" t="s">
        <v>74</v>
      </c>
      <c r="U24" s="167">
        <v>22692000</v>
      </c>
      <c r="V24" s="167">
        <v>22692000</v>
      </c>
      <c r="W24" s="147" t="s">
        <v>75</v>
      </c>
      <c r="X24" s="147" t="s">
        <v>67</v>
      </c>
      <c r="Y24" s="147" t="s">
        <v>76</v>
      </c>
      <c r="Z24" s="149" t="s">
        <v>77</v>
      </c>
      <c r="AA24" s="149">
        <v>6012220601</v>
      </c>
      <c r="AB24" s="160" t="s">
        <v>78</v>
      </c>
      <c r="AC24" s="14"/>
      <c r="AD24" s="14"/>
      <c r="AE24" s="14">
        <v>22692000</v>
      </c>
      <c r="AF24" s="14"/>
      <c r="AG24" s="14"/>
      <c r="AH24" s="14">
        <v>2521333</v>
      </c>
      <c r="AI24" s="14"/>
      <c r="AJ24" s="14">
        <v>7564000</v>
      </c>
      <c r="AK24" s="14"/>
      <c r="AL24" s="14">
        <v>7564000</v>
      </c>
      <c r="AM24" s="14"/>
      <c r="AN24" s="14">
        <v>5042667</v>
      </c>
      <c r="AO24" s="14"/>
      <c r="AP24" s="14"/>
      <c r="AQ24" s="14"/>
      <c r="AR24" s="14"/>
      <c r="AS24" s="14"/>
      <c r="AT24" s="14"/>
      <c r="AU24" s="25"/>
      <c r="AV24" s="25"/>
      <c r="AW24" s="25"/>
      <c r="AX24" s="25"/>
      <c r="AY24" s="25"/>
      <c r="AZ24" s="25"/>
      <c r="BA24" s="17"/>
      <c r="BB24" s="17"/>
      <c r="BC24" s="18">
        <f t="shared" ref="BC24:BD24" si="18">AC24+AE24+AG24+AI24+AK24+AM24+AO24+AQ24+AS24+AU24+AW24+AY24+BA24</f>
        <v>22692000</v>
      </c>
      <c r="BD24" s="18">
        <f t="shared" si="18"/>
        <v>22692000</v>
      </c>
      <c r="BE24" s="19">
        <f t="shared" si="1"/>
        <v>0</v>
      </c>
      <c r="BF24" s="20">
        <f t="shared" si="2"/>
        <v>0</v>
      </c>
      <c r="BG24" s="20">
        <f t="shared" si="3"/>
        <v>0</v>
      </c>
    </row>
    <row r="25" spans="1:59" ht="14.25" customHeight="1">
      <c r="A25" s="147" t="s">
        <v>59</v>
      </c>
      <c r="B25" s="147" t="s">
        <v>60</v>
      </c>
      <c r="C25" s="151" t="s">
        <v>61</v>
      </c>
      <c r="D25" s="151" t="s">
        <v>62</v>
      </c>
      <c r="E25" s="151" t="s">
        <v>114</v>
      </c>
      <c r="F25" s="149" t="s">
        <v>136</v>
      </c>
      <c r="G25" s="147" t="s">
        <v>64</v>
      </c>
      <c r="H25" s="149" t="s">
        <v>80</v>
      </c>
      <c r="I25" s="149" t="s">
        <v>81</v>
      </c>
      <c r="J25" s="173">
        <v>80111620</v>
      </c>
      <c r="K25" s="149" t="s">
        <v>82</v>
      </c>
      <c r="L25" s="147" t="s">
        <v>83</v>
      </c>
      <c r="M25" s="149" t="s">
        <v>137</v>
      </c>
      <c r="N25" s="147" t="s">
        <v>91</v>
      </c>
      <c r="O25" s="147" t="s">
        <v>91</v>
      </c>
      <c r="P25" s="149" t="s">
        <v>85</v>
      </c>
      <c r="Q25" s="147">
        <v>7</v>
      </c>
      <c r="R25" s="147" t="s">
        <v>72</v>
      </c>
      <c r="S25" s="147" t="s">
        <v>73</v>
      </c>
      <c r="T25" s="147" t="s">
        <v>74</v>
      </c>
      <c r="U25" s="167">
        <v>29988500</v>
      </c>
      <c r="V25" s="148">
        <v>29988500</v>
      </c>
      <c r="W25" s="147" t="s">
        <v>75</v>
      </c>
      <c r="X25" s="147" t="s">
        <v>67</v>
      </c>
      <c r="Y25" s="147" t="s">
        <v>102</v>
      </c>
      <c r="Z25" s="149" t="s">
        <v>103</v>
      </c>
      <c r="AA25" s="149">
        <v>6012220601</v>
      </c>
      <c r="AB25" s="160" t="s">
        <v>104</v>
      </c>
      <c r="AC25" s="14"/>
      <c r="AD25" s="14"/>
      <c r="AE25" s="14">
        <v>29988500</v>
      </c>
      <c r="AF25" s="14"/>
      <c r="AG25" s="14"/>
      <c r="AH25" s="14">
        <v>6666667</v>
      </c>
      <c r="AI25" s="14"/>
      <c r="AJ25" s="14">
        <v>8000000</v>
      </c>
      <c r="AK25" s="14"/>
      <c r="AL25" s="14">
        <v>8000000</v>
      </c>
      <c r="AM25" s="14"/>
      <c r="AN25" s="14">
        <v>7321833</v>
      </c>
      <c r="AO25" s="14"/>
      <c r="AP25" s="14"/>
      <c r="AQ25" s="14"/>
      <c r="AR25" s="14"/>
      <c r="AS25" s="14"/>
      <c r="AT25" s="14"/>
      <c r="AU25" s="25"/>
      <c r="AV25" s="25"/>
      <c r="AW25" s="25"/>
      <c r="AX25" s="25"/>
      <c r="AY25" s="25"/>
      <c r="AZ25" s="25"/>
      <c r="BA25" s="17"/>
      <c r="BB25" s="17"/>
      <c r="BC25" s="18">
        <f t="shared" ref="BC25:BD25" si="19">AC25+AE25+AG25+AI25+AK25+AM25+AO25+AQ25+AS25+AU25+AW25+AY25+BA25</f>
        <v>29988500</v>
      </c>
      <c r="BD25" s="18">
        <f t="shared" si="19"/>
        <v>29988500</v>
      </c>
      <c r="BE25" s="19">
        <f t="shared" si="1"/>
        <v>0</v>
      </c>
      <c r="BF25" s="20">
        <f t="shared" si="2"/>
        <v>0</v>
      </c>
      <c r="BG25" s="20">
        <f t="shared" si="3"/>
        <v>0</v>
      </c>
    </row>
    <row r="26" spans="1:59" ht="14.25" customHeight="1">
      <c r="A26" s="147" t="s">
        <v>59</v>
      </c>
      <c r="B26" s="147" t="s">
        <v>60</v>
      </c>
      <c r="C26" s="151" t="s">
        <v>61</v>
      </c>
      <c r="D26" s="151" t="s">
        <v>62</v>
      </c>
      <c r="E26" s="151">
        <v>5</v>
      </c>
      <c r="F26" s="149" t="s">
        <v>138</v>
      </c>
      <c r="G26" s="147" t="s">
        <v>64</v>
      </c>
      <c r="H26" s="149" t="s">
        <v>80</v>
      </c>
      <c r="I26" s="149" t="s">
        <v>96</v>
      </c>
      <c r="J26" s="173">
        <v>80111620</v>
      </c>
      <c r="K26" s="149" t="s">
        <v>82</v>
      </c>
      <c r="L26" s="149" t="s">
        <v>83</v>
      </c>
      <c r="M26" s="149" t="s">
        <v>139</v>
      </c>
      <c r="N26" s="147" t="s">
        <v>85</v>
      </c>
      <c r="O26" s="147" t="s">
        <v>86</v>
      </c>
      <c r="P26" s="147" t="s">
        <v>86</v>
      </c>
      <c r="Q26" s="147">
        <v>7.5</v>
      </c>
      <c r="R26" s="147" t="s">
        <v>72</v>
      </c>
      <c r="S26" s="147" t="s">
        <v>73</v>
      </c>
      <c r="T26" s="147" t="s">
        <v>74</v>
      </c>
      <c r="U26" s="167">
        <v>2611044</v>
      </c>
      <c r="V26" s="148">
        <v>2611044</v>
      </c>
      <c r="W26" s="147" t="s">
        <v>75</v>
      </c>
      <c r="X26" s="147" t="s">
        <v>67</v>
      </c>
      <c r="Y26" s="147" t="s">
        <v>76</v>
      </c>
      <c r="Z26" s="149" t="s">
        <v>77</v>
      </c>
      <c r="AA26" s="149">
        <v>6012220601</v>
      </c>
      <c r="AB26" s="160" t="s">
        <v>78</v>
      </c>
      <c r="AC26" s="14"/>
      <c r="AD26" s="14"/>
      <c r="AE26" s="14"/>
      <c r="AF26" s="14"/>
      <c r="AG26" s="14">
        <v>2611044</v>
      </c>
      <c r="AH26" s="14"/>
      <c r="AI26" s="14"/>
      <c r="AJ26" s="14"/>
      <c r="AK26" s="14"/>
      <c r="AL26" s="14"/>
      <c r="AM26" s="14"/>
      <c r="AN26" s="14"/>
      <c r="AO26" s="14"/>
      <c r="AP26" s="14"/>
      <c r="AQ26" s="14"/>
      <c r="AR26" s="14"/>
      <c r="AS26" s="14"/>
      <c r="AT26" s="14"/>
      <c r="AU26" s="22"/>
      <c r="AV26" s="22"/>
      <c r="AW26" s="22"/>
      <c r="AX26" s="22">
        <v>2611044</v>
      </c>
      <c r="AY26" s="22"/>
      <c r="AZ26" s="22"/>
      <c r="BA26" s="17"/>
      <c r="BB26" s="17"/>
      <c r="BC26" s="18">
        <f t="shared" ref="BC26:BD26" si="20">AC26+AE26+AG26+AI26+AK26+AM26+AO26+AQ26+AS26+AU26+AW26+AY26+BA26</f>
        <v>2611044</v>
      </c>
      <c r="BD26" s="18">
        <f t="shared" si="20"/>
        <v>2611044</v>
      </c>
      <c r="BE26" s="19">
        <f t="shared" si="1"/>
        <v>0</v>
      </c>
      <c r="BF26" s="20">
        <f t="shared" si="2"/>
        <v>0</v>
      </c>
      <c r="BG26" s="20">
        <f t="shared" si="3"/>
        <v>0</v>
      </c>
    </row>
    <row r="27" spans="1:59" ht="14.25" customHeight="1">
      <c r="A27" s="147" t="s">
        <v>59</v>
      </c>
      <c r="B27" s="147" t="s">
        <v>60</v>
      </c>
      <c r="C27" s="151" t="s">
        <v>61</v>
      </c>
      <c r="D27" s="151" t="s">
        <v>62</v>
      </c>
      <c r="E27" s="151">
        <v>47</v>
      </c>
      <c r="F27" s="149" t="s">
        <v>140</v>
      </c>
      <c r="G27" s="147" t="s">
        <v>64</v>
      </c>
      <c r="H27" s="149" t="s">
        <v>80</v>
      </c>
      <c r="I27" s="149" t="s">
        <v>96</v>
      </c>
      <c r="J27" s="173">
        <v>43233600</v>
      </c>
      <c r="K27" s="149" t="s">
        <v>82</v>
      </c>
      <c r="L27" s="147" t="s">
        <v>131</v>
      </c>
      <c r="M27" s="149" t="s">
        <v>141</v>
      </c>
      <c r="N27" s="147" t="s">
        <v>100</v>
      </c>
      <c r="O27" s="147" t="s">
        <v>142</v>
      </c>
      <c r="P27" s="147" t="s">
        <v>71</v>
      </c>
      <c r="Q27" s="147">
        <v>12</v>
      </c>
      <c r="R27" s="147" t="s">
        <v>72</v>
      </c>
      <c r="S27" s="147" t="s">
        <v>143</v>
      </c>
      <c r="T27" s="147" t="s">
        <v>74</v>
      </c>
      <c r="U27" s="167">
        <v>20000000</v>
      </c>
      <c r="V27" s="148">
        <v>20000000</v>
      </c>
      <c r="W27" s="147" t="s">
        <v>75</v>
      </c>
      <c r="X27" s="147" t="s">
        <v>67</v>
      </c>
      <c r="Y27" s="147" t="s">
        <v>76</v>
      </c>
      <c r="Z27" s="149" t="s">
        <v>77</v>
      </c>
      <c r="AA27" s="149">
        <v>6012220601</v>
      </c>
      <c r="AB27" s="160" t="s">
        <v>78</v>
      </c>
      <c r="AC27" s="14"/>
      <c r="AD27" s="14"/>
      <c r="AE27" s="14"/>
      <c r="AF27" s="14"/>
      <c r="AG27" s="14"/>
      <c r="AH27" s="14"/>
      <c r="AI27" s="14"/>
      <c r="AJ27" s="14"/>
      <c r="AK27" s="14"/>
      <c r="AL27" s="14"/>
      <c r="AM27" s="14"/>
      <c r="AN27" s="14"/>
      <c r="AO27" s="14"/>
      <c r="AP27" s="14"/>
      <c r="AQ27" s="14"/>
      <c r="AR27" s="14"/>
      <c r="AS27" s="14"/>
      <c r="AT27" s="14"/>
      <c r="AU27" s="15">
        <v>20000000</v>
      </c>
      <c r="AV27" s="15"/>
      <c r="AW27" s="15"/>
      <c r="AX27" s="15">
        <v>20000000</v>
      </c>
      <c r="AY27" s="15"/>
      <c r="AZ27" s="15"/>
      <c r="BA27" s="17"/>
      <c r="BB27" s="17"/>
      <c r="BC27" s="18">
        <f t="shared" ref="BC27:BD27" si="21">AC27+AE27+AG27+AI27+AK27+AM27+AO27+AQ27+AS27+AU27+AW27+AY27+BA27</f>
        <v>20000000</v>
      </c>
      <c r="BD27" s="18">
        <f t="shared" si="21"/>
        <v>20000000</v>
      </c>
      <c r="BE27" s="19">
        <f t="shared" si="1"/>
        <v>0</v>
      </c>
      <c r="BF27" s="20">
        <f t="shared" si="2"/>
        <v>0</v>
      </c>
      <c r="BG27" s="20">
        <f t="shared" si="3"/>
        <v>0</v>
      </c>
    </row>
    <row r="28" spans="1:59" ht="13.5" customHeight="1">
      <c r="A28" s="147" t="s">
        <v>59</v>
      </c>
      <c r="B28" s="147" t="s">
        <v>60</v>
      </c>
      <c r="C28" s="151" t="s">
        <v>61</v>
      </c>
      <c r="D28" s="151" t="s">
        <v>62</v>
      </c>
      <c r="E28" s="151">
        <v>15</v>
      </c>
      <c r="F28" s="149" t="s">
        <v>144</v>
      </c>
      <c r="G28" s="147" t="s">
        <v>64</v>
      </c>
      <c r="H28" s="149" t="s">
        <v>80</v>
      </c>
      <c r="I28" s="149" t="s">
        <v>96</v>
      </c>
      <c r="J28" s="173">
        <v>43233501</v>
      </c>
      <c r="K28" s="149" t="s">
        <v>82</v>
      </c>
      <c r="L28" s="147" t="s">
        <v>145</v>
      </c>
      <c r="M28" s="149" t="s">
        <v>146</v>
      </c>
      <c r="N28" s="147" t="s">
        <v>100</v>
      </c>
      <c r="O28" s="147" t="s">
        <v>142</v>
      </c>
      <c r="P28" s="147" t="s">
        <v>71</v>
      </c>
      <c r="Q28" s="147">
        <v>12</v>
      </c>
      <c r="R28" s="147" t="s">
        <v>72</v>
      </c>
      <c r="S28" s="147" t="s">
        <v>143</v>
      </c>
      <c r="T28" s="147" t="s">
        <v>74</v>
      </c>
      <c r="U28" s="167">
        <v>8830541</v>
      </c>
      <c r="V28" s="167">
        <v>8830541</v>
      </c>
      <c r="W28" s="147" t="s">
        <v>75</v>
      </c>
      <c r="X28" s="147" t="s">
        <v>67</v>
      </c>
      <c r="Y28" s="147" t="s">
        <v>147</v>
      </c>
      <c r="Z28" s="147" t="s">
        <v>148</v>
      </c>
      <c r="AA28" s="147">
        <v>6012220601</v>
      </c>
      <c r="AB28" s="160" t="s">
        <v>149</v>
      </c>
      <c r="AC28" s="14"/>
      <c r="AD28" s="14"/>
      <c r="AE28" s="14"/>
      <c r="AF28" s="14"/>
      <c r="AG28" s="14"/>
      <c r="AH28" s="14"/>
      <c r="AI28" s="14"/>
      <c r="AJ28" s="14"/>
      <c r="AK28" s="14"/>
      <c r="AL28" s="14"/>
      <c r="AM28" s="14"/>
      <c r="AN28" s="14"/>
      <c r="AO28" s="14"/>
      <c r="AP28" s="14"/>
      <c r="AQ28" s="14"/>
      <c r="AR28" s="14"/>
      <c r="AS28" s="14"/>
      <c r="AT28" s="14"/>
      <c r="AU28" s="28">
        <v>8830541</v>
      </c>
      <c r="AV28" s="28"/>
      <c r="AW28" s="25"/>
      <c r="AX28" s="28"/>
      <c r="AY28" s="25"/>
      <c r="AZ28" s="28">
        <v>8830541</v>
      </c>
      <c r="BA28" s="17"/>
      <c r="BB28" s="17"/>
      <c r="BC28" s="18">
        <f t="shared" ref="BC28:BD28" si="22">AC28+AE28+AG28+AI28+AK28+AM28+AO28+AQ28+AS28+AU28+AW28+AY28+BA28</f>
        <v>8830541</v>
      </c>
      <c r="BD28" s="18">
        <f t="shared" si="22"/>
        <v>8830541</v>
      </c>
      <c r="BE28" s="19">
        <f t="shared" si="1"/>
        <v>0</v>
      </c>
      <c r="BF28" s="20">
        <f t="shared" si="2"/>
        <v>0</v>
      </c>
      <c r="BG28" s="20">
        <f t="shared" si="3"/>
        <v>0</v>
      </c>
    </row>
    <row r="29" spans="1:59" ht="14.25" customHeight="1">
      <c r="A29" s="147" t="s">
        <v>59</v>
      </c>
      <c r="B29" s="147" t="s">
        <v>60</v>
      </c>
      <c r="C29" s="151" t="s">
        <v>61</v>
      </c>
      <c r="D29" s="151" t="s">
        <v>62</v>
      </c>
      <c r="E29" s="151">
        <v>16</v>
      </c>
      <c r="F29" s="149" t="s">
        <v>150</v>
      </c>
      <c r="G29" s="147" t="s">
        <v>64</v>
      </c>
      <c r="H29" s="149" t="s">
        <v>80</v>
      </c>
      <c r="I29" s="149" t="s">
        <v>96</v>
      </c>
      <c r="J29" s="173">
        <v>80111620</v>
      </c>
      <c r="K29" s="149" t="s">
        <v>82</v>
      </c>
      <c r="L29" s="147" t="s">
        <v>83</v>
      </c>
      <c r="M29" s="149" t="s">
        <v>151</v>
      </c>
      <c r="N29" s="147" t="s">
        <v>71</v>
      </c>
      <c r="O29" s="147" t="s">
        <v>71</v>
      </c>
      <c r="P29" s="147" t="s">
        <v>71</v>
      </c>
      <c r="Q29" s="147">
        <v>1</v>
      </c>
      <c r="R29" s="147" t="s">
        <v>72</v>
      </c>
      <c r="S29" s="147" t="s">
        <v>73</v>
      </c>
      <c r="T29" s="147" t="s">
        <v>74</v>
      </c>
      <c r="U29" s="167">
        <v>9764650</v>
      </c>
      <c r="V29" s="167">
        <v>9764650</v>
      </c>
      <c r="W29" s="147" t="s">
        <v>75</v>
      </c>
      <c r="X29" s="147" t="s">
        <v>67</v>
      </c>
      <c r="Y29" s="147" t="s">
        <v>152</v>
      </c>
      <c r="Z29" s="149" t="s">
        <v>77</v>
      </c>
      <c r="AA29" s="147">
        <v>6012220601</v>
      </c>
      <c r="AB29" s="160" t="s">
        <v>153</v>
      </c>
      <c r="AC29" s="14"/>
      <c r="AD29" s="14"/>
      <c r="AE29" s="14"/>
      <c r="AF29" s="14"/>
      <c r="AG29" s="14"/>
      <c r="AH29" s="14"/>
      <c r="AI29" s="14"/>
      <c r="AJ29" s="14"/>
      <c r="AK29" s="14"/>
      <c r="AL29" s="14"/>
      <c r="AM29" s="14"/>
      <c r="AN29" s="14"/>
      <c r="AO29" s="14"/>
      <c r="AP29" s="14"/>
      <c r="AQ29" s="14"/>
      <c r="AR29" s="14"/>
      <c r="AS29" s="14">
        <v>9764650</v>
      </c>
      <c r="AT29" s="14"/>
      <c r="AU29" s="25"/>
      <c r="AV29" s="28"/>
      <c r="AW29" s="25"/>
      <c r="AX29" s="28"/>
      <c r="AY29" s="25"/>
      <c r="AZ29" s="28">
        <v>9764650</v>
      </c>
      <c r="BA29" s="17"/>
      <c r="BB29" s="17"/>
      <c r="BC29" s="18">
        <f t="shared" ref="BC29:BD29" si="23">AC29+AE29+AG29+AI29+AK29+AM29+AO29+AQ29+AS29+AU29+AW29+AY29+BA29</f>
        <v>9764650</v>
      </c>
      <c r="BD29" s="18">
        <f t="shared" si="23"/>
        <v>9764650</v>
      </c>
      <c r="BE29" s="19">
        <f t="shared" si="1"/>
        <v>0</v>
      </c>
      <c r="BF29" s="20">
        <f t="shared" si="2"/>
        <v>0</v>
      </c>
      <c r="BG29" s="20">
        <f t="shared" si="3"/>
        <v>0</v>
      </c>
    </row>
    <row r="30" spans="1:59" ht="15" customHeight="1">
      <c r="A30" s="147" t="s">
        <v>59</v>
      </c>
      <c r="B30" s="147" t="s">
        <v>60</v>
      </c>
      <c r="C30" s="151" t="s">
        <v>61</v>
      </c>
      <c r="D30" s="151" t="s">
        <v>62</v>
      </c>
      <c r="E30" s="151">
        <v>47</v>
      </c>
      <c r="F30" s="149" t="s">
        <v>154</v>
      </c>
      <c r="G30" s="147" t="s">
        <v>64</v>
      </c>
      <c r="H30" s="149" t="s">
        <v>80</v>
      </c>
      <c r="I30" s="149" t="s">
        <v>96</v>
      </c>
      <c r="J30" s="173">
        <v>80111620</v>
      </c>
      <c r="K30" s="149" t="s">
        <v>82</v>
      </c>
      <c r="L30" s="147" t="s">
        <v>83</v>
      </c>
      <c r="M30" s="147" t="s">
        <v>155</v>
      </c>
      <c r="N30" s="147" t="s">
        <v>100</v>
      </c>
      <c r="O30" s="147" t="s">
        <v>100</v>
      </c>
      <c r="P30" s="147" t="s">
        <v>100</v>
      </c>
      <c r="Q30" s="147">
        <v>5.5</v>
      </c>
      <c r="R30" s="147" t="s">
        <v>72</v>
      </c>
      <c r="S30" s="147" t="s">
        <v>156</v>
      </c>
      <c r="T30" s="147" t="s">
        <v>74</v>
      </c>
      <c r="U30" s="148">
        <v>32727272</v>
      </c>
      <c r="V30" s="148">
        <v>32727272</v>
      </c>
      <c r="W30" s="147" t="s">
        <v>75</v>
      </c>
      <c r="X30" s="147" t="s">
        <v>67</v>
      </c>
      <c r="Y30" s="147" t="s">
        <v>157</v>
      </c>
      <c r="Z30" s="147" t="s">
        <v>158</v>
      </c>
      <c r="AA30" s="147">
        <v>6012220601</v>
      </c>
      <c r="AB30" s="160" t="s">
        <v>153</v>
      </c>
      <c r="AC30" s="28"/>
      <c r="AD30" s="28"/>
      <c r="AE30" s="28"/>
      <c r="AF30" s="28"/>
      <c r="AG30" s="28"/>
      <c r="AH30" s="28"/>
      <c r="AI30" s="28"/>
      <c r="AJ30" s="28"/>
      <c r="AK30" s="28"/>
      <c r="AL30" s="28"/>
      <c r="AM30" s="28"/>
      <c r="AN30" s="28"/>
      <c r="AO30" s="28"/>
      <c r="AP30" s="28"/>
      <c r="AQ30" s="28">
        <v>32727272</v>
      </c>
      <c r="AR30" s="28"/>
      <c r="AS30" s="28"/>
      <c r="AT30" s="28">
        <v>4121212</v>
      </c>
      <c r="AU30" s="28"/>
      <c r="AV30" s="28">
        <v>7272727</v>
      </c>
      <c r="AW30" s="25"/>
      <c r="AX30" s="25">
        <v>7272727</v>
      </c>
      <c r="AY30" s="25"/>
      <c r="AZ30" s="28">
        <f>14545454-484848</f>
        <v>14060606</v>
      </c>
      <c r="BA30" s="17"/>
      <c r="BB30" s="17"/>
      <c r="BC30" s="18">
        <f t="shared" ref="BC30:BD30" si="24">AC30+AE30+AG30+AI30+AK30+AM30+AO30+AQ30+AS30+AU30+AW30+AY30+BA30</f>
        <v>32727272</v>
      </c>
      <c r="BD30" s="18">
        <f t="shared" si="24"/>
        <v>32727272</v>
      </c>
      <c r="BE30" s="19">
        <f t="shared" si="1"/>
        <v>0</v>
      </c>
      <c r="BF30" s="20">
        <f t="shared" si="2"/>
        <v>0</v>
      </c>
      <c r="BG30" s="20">
        <f t="shared" si="3"/>
        <v>0</v>
      </c>
    </row>
    <row r="31" spans="1:59" ht="15" customHeight="1">
      <c r="A31" s="147" t="s">
        <v>59</v>
      </c>
      <c r="B31" s="147" t="s">
        <v>60</v>
      </c>
      <c r="C31" s="151" t="s">
        <v>61</v>
      </c>
      <c r="D31" s="151" t="s">
        <v>62</v>
      </c>
      <c r="E31" s="151">
        <v>44</v>
      </c>
      <c r="F31" s="149" t="s">
        <v>159</v>
      </c>
      <c r="G31" s="147" t="s">
        <v>64</v>
      </c>
      <c r="H31" s="149" t="s">
        <v>80</v>
      </c>
      <c r="I31" s="149" t="s">
        <v>96</v>
      </c>
      <c r="J31" s="173">
        <v>80111620</v>
      </c>
      <c r="K31" s="149" t="s">
        <v>82</v>
      </c>
      <c r="L31" s="147" t="s">
        <v>83</v>
      </c>
      <c r="M31" s="147" t="s">
        <v>160</v>
      </c>
      <c r="N31" s="147" t="s">
        <v>100</v>
      </c>
      <c r="O31" s="147" t="s">
        <v>100</v>
      </c>
      <c r="P31" s="147" t="s">
        <v>100</v>
      </c>
      <c r="Q31" s="147">
        <v>5.5</v>
      </c>
      <c r="R31" s="147" t="s">
        <v>72</v>
      </c>
      <c r="S31" s="147" t="s">
        <v>156</v>
      </c>
      <c r="T31" s="147" t="s">
        <v>74</v>
      </c>
      <c r="U31" s="148">
        <v>16363638</v>
      </c>
      <c r="V31" s="148">
        <v>16363638</v>
      </c>
      <c r="W31" s="147" t="s">
        <v>75</v>
      </c>
      <c r="X31" s="147" t="s">
        <v>67</v>
      </c>
      <c r="Y31" s="147" t="s">
        <v>157</v>
      </c>
      <c r="Z31" s="147" t="s">
        <v>158</v>
      </c>
      <c r="AA31" s="147">
        <v>6012220601</v>
      </c>
      <c r="AB31" s="160" t="s">
        <v>153</v>
      </c>
      <c r="AC31" s="28"/>
      <c r="AD31" s="28"/>
      <c r="AE31" s="28"/>
      <c r="AF31" s="28"/>
      <c r="AG31" s="28"/>
      <c r="AH31" s="28"/>
      <c r="AI31" s="28"/>
      <c r="AJ31" s="28"/>
      <c r="AK31" s="28"/>
      <c r="AL31" s="28"/>
      <c r="AM31" s="28"/>
      <c r="AN31" s="28"/>
      <c r="AO31" s="28"/>
      <c r="AP31" s="28"/>
      <c r="AQ31" s="28">
        <v>16363638</v>
      </c>
      <c r="AR31" s="28"/>
      <c r="AS31" s="28"/>
      <c r="AT31" s="28">
        <v>1939394</v>
      </c>
      <c r="AU31" s="28"/>
      <c r="AV31" s="28">
        <v>3636364</v>
      </c>
      <c r="AW31" s="25"/>
      <c r="AX31" s="25">
        <v>3636364</v>
      </c>
      <c r="AY31" s="25"/>
      <c r="AZ31" s="25">
        <f>7272728-121212</f>
        <v>7151516</v>
      </c>
      <c r="BA31" s="17"/>
      <c r="BB31" s="17"/>
      <c r="BC31" s="18">
        <f t="shared" ref="BC31:BD31" si="25">AC31+AE31+AG31+AI31+AK31+AM31+AO31+AQ31+AS31+AU31+AW31+AY31+BA31</f>
        <v>16363638</v>
      </c>
      <c r="BD31" s="18">
        <f t="shared" si="25"/>
        <v>16363638</v>
      </c>
      <c r="BE31" s="19">
        <f t="shared" si="1"/>
        <v>0</v>
      </c>
      <c r="BF31" s="20">
        <f t="shared" si="2"/>
        <v>0</v>
      </c>
      <c r="BG31" s="20">
        <f t="shared" si="3"/>
        <v>0</v>
      </c>
    </row>
    <row r="32" spans="1:59" ht="15" customHeight="1">
      <c r="A32" s="147" t="s">
        <v>59</v>
      </c>
      <c r="B32" s="147" t="s">
        <v>60</v>
      </c>
      <c r="C32" s="151" t="s">
        <v>61</v>
      </c>
      <c r="D32" s="151" t="s">
        <v>62</v>
      </c>
      <c r="E32" s="151">
        <v>37</v>
      </c>
      <c r="F32" s="149" t="s">
        <v>161</v>
      </c>
      <c r="G32" s="147" t="s">
        <v>64</v>
      </c>
      <c r="H32" s="149" t="s">
        <v>80</v>
      </c>
      <c r="I32" s="149" t="s">
        <v>96</v>
      </c>
      <c r="J32" s="173">
        <v>80111620</v>
      </c>
      <c r="K32" s="149" t="s">
        <v>82</v>
      </c>
      <c r="L32" s="147" t="s">
        <v>83</v>
      </c>
      <c r="M32" s="147" t="s">
        <v>162</v>
      </c>
      <c r="N32" s="147" t="s">
        <v>142</v>
      </c>
      <c r="O32" s="147" t="s">
        <v>142</v>
      </c>
      <c r="P32" s="147" t="s">
        <v>142</v>
      </c>
      <c r="Q32" s="147">
        <v>5</v>
      </c>
      <c r="R32" s="147" t="s">
        <v>72</v>
      </c>
      <c r="S32" s="147" t="s">
        <v>156</v>
      </c>
      <c r="T32" s="147" t="s">
        <v>74</v>
      </c>
      <c r="U32" s="148">
        <v>17720236</v>
      </c>
      <c r="V32" s="148">
        <v>17720236</v>
      </c>
      <c r="W32" s="147" t="s">
        <v>75</v>
      </c>
      <c r="X32" s="147" t="s">
        <v>67</v>
      </c>
      <c r="Y32" s="147" t="s">
        <v>163</v>
      </c>
      <c r="Z32" s="147" t="s">
        <v>164</v>
      </c>
      <c r="AA32" s="147">
        <v>6012220601</v>
      </c>
      <c r="AB32" s="160" t="s">
        <v>165</v>
      </c>
      <c r="AC32" s="28"/>
      <c r="AD32" s="28"/>
      <c r="AE32" s="28"/>
      <c r="AF32" s="28"/>
      <c r="AG32" s="28"/>
      <c r="AH32" s="28"/>
      <c r="AI32" s="28"/>
      <c r="AJ32" s="28"/>
      <c r="AK32" s="28"/>
      <c r="AL32" s="28"/>
      <c r="AM32" s="28"/>
      <c r="AN32" s="28"/>
      <c r="AO32" s="28"/>
      <c r="AP32" s="28"/>
      <c r="AQ32" s="28">
        <v>17720236</v>
      </c>
      <c r="AR32" s="28"/>
      <c r="AS32" s="28"/>
      <c r="AT32" s="28"/>
      <c r="AU32" s="25"/>
      <c r="AV32" s="25">
        <v>6000000</v>
      </c>
      <c r="AW32" s="25"/>
      <c r="AX32" s="28">
        <v>6000000</v>
      </c>
      <c r="AY32" s="25"/>
      <c r="AZ32" s="28">
        <v>5720236</v>
      </c>
      <c r="BA32" s="17"/>
      <c r="BB32" s="17"/>
      <c r="BC32" s="18">
        <f t="shared" ref="BC32:BD32" si="26">AC32+AE32+AG32+AI32+AK32+AM32+AO32+AQ32+AS32+AU32+AW32+AY32+BA32</f>
        <v>17720236</v>
      </c>
      <c r="BD32" s="18">
        <f t="shared" si="26"/>
        <v>17720236</v>
      </c>
      <c r="BE32" s="19">
        <f t="shared" si="1"/>
        <v>0</v>
      </c>
      <c r="BF32" s="20">
        <f t="shared" si="2"/>
        <v>0</v>
      </c>
      <c r="BG32" s="20">
        <f t="shared" si="3"/>
        <v>0</v>
      </c>
    </row>
    <row r="33" spans="1:59" ht="15" customHeight="1">
      <c r="A33" s="147" t="s">
        <v>59</v>
      </c>
      <c r="B33" s="147" t="s">
        <v>60</v>
      </c>
      <c r="C33" s="151" t="s">
        <v>61</v>
      </c>
      <c r="D33" s="151" t="s">
        <v>62</v>
      </c>
      <c r="E33" s="151">
        <v>44</v>
      </c>
      <c r="F33" s="149" t="s">
        <v>166</v>
      </c>
      <c r="G33" s="147" t="s">
        <v>64</v>
      </c>
      <c r="H33" s="147" t="s">
        <v>65</v>
      </c>
      <c r="I33" s="149" t="s">
        <v>66</v>
      </c>
      <c r="J33" s="173">
        <v>80111620</v>
      </c>
      <c r="K33" s="147" t="s">
        <v>68</v>
      </c>
      <c r="L33" s="147" t="s">
        <v>83</v>
      </c>
      <c r="M33" s="147" t="s">
        <v>167</v>
      </c>
      <c r="N33" s="147" t="s">
        <v>142</v>
      </c>
      <c r="O33" s="147" t="s">
        <v>142</v>
      </c>
      <c r="P33" s="147" t="s">
        <v>142</v>
      </c>
      <c r="Q33" s="147">
        <v>5</v>
      </c>
      <c r="R33" s="147" t="s">
        <v>72</v>
      </c>
      <c r="S33" s="147" t="s">
        <v>156</v>
      </c>
      <c r="T33" s="147" t="s">
        <v>74</v>
      </c>
      <c r="U33" s="177">
        <v>8279764</v>
      </c>
      <c r="V33" s="177">
        <v>8279764</v>
      </c>
      <c r="W33" s="147" t="s">
        <v>75</v>
      </c>
      <c r="X33" s="147" t="s">
        <v>67</v>
      </c>
      <c r="Y33" s="147" t="s">
        <v>163</v>
      </c>
      <c r="Z33" s="147" t="s">
        <v>164</v>
      </c>
      <c r="AA33" s="147">
        <v>6012220601</v>
      </c>
      <c r="AB33" s="160" t="s">
        <v>165</v>
      </c>
      <c r="AC33" s="28"/>
      <c r="AD33" s="28"/>
      <c r="AE33" s="28"/>
      <c r="AF33" s="28"/>
      <c r="AG33" s="28"/>
      <c r="AH33" s="28"/>
      <c r="AI33" s="28"/>
      <c r="AJ33" s="28"/>
      <c r="AK33" s="28"/>
      <c r="AL33" s="28"/>
      <c r="AM33" s="28"/>
      <c r="AN33" s="28"/>
      <c r="AO33" s="28"/>
      <c r="AP33" s="28"/>
      <c r="AQ33" s="28">
        <v>8279764</v>
      </c>
      <c r="AR33" s="28"/>
      <c r="AS33" s="28">
        <v>-1000000</v>
      </c>
      <c r="AT33" s="28"/>
      <c r="AU33" s="28"/>
      <c r="AV33" s="28"/>
      <c r="AW33" s="28">
        <v>1000000</v>
      </c>
      <c r="AX33" s="28"/>
      <c r="AY33" s="25"/>
      <c r="AZ33" s="28">
        <v>8279764</v>
      </c>
      <c r="BA33" s="17"/>
      <c r="BB33" s="17"/>
      <c r="BC33" s="18">
        <f t="shared" ref="BC33:BD33" si="27">AC33+AE33+AG33+AI33+AK33+AM33+AO33+AQ33+AS33+AU33+AW33+AY33+BA33</f>
        <v>8279764</v>
      </c>
      <c r="BD33" s="18">
        <f t="shared" si="27"/>
        <v>8279764</v>
      </c>
      <c r="BE33" s="19">
        <f t="shared" si="1"/>
        <v>0</v>
      </c>
      <c r="BF33" s="20">
        <f t="shared" si="2"/>
        <v>0</v>
      </c>
      <c r="BG33" s="20">
        <f t="shared" si="3"/>
        <v>0</v>
      </c>
    </row>
    <row r="34" spans="1:59" ht="15" customHeight="1">
      <c r="A34" s="147" t="s">
        <v>59</v>
      </c>
      <c r="B34" s="147" t="s">
        <v>60</v>
      </c>
      <c r="C34" s="151" t="s">
        <v>61</v>
      </c>
      <c r="D34" s="151" t="s">
        <v>62</v>
      </c>
      <c r="E34" s="151">
        <v>44</v>
      </c>
      <c r="F34" s="149" t="s">
        <v>168</v>
      </c>
      <c r="G34" s="147" t="s">
        <v>64</v>
      </c>
      <c r="H34" s="147" t="s">
        <v>65</v>
      </c>
      <c r="I34" s="149" t="s">
        <v>66</v>
      </c>
      <c r="J34" s="173">
        <v>80111620</v>
      </c>
      <c r="K34" s="147" t="s">
        <v>68</v>
      </c>
      <c r="L34" s="147" t="s">
        <v>83</v>
      </c>
      <c r="M34" s="147" t="s">
        <v>169</v>
      </c>
      <c r="N34" s="147" t="s">
        <v>100</v>
      </c>
      <c r="O34" s="147" t="s">
        <v>100</v>
      </c>
      <c r="P34" s="147" t="s">
        <v>100</v>
      </c>
      <c r="Q34" s="147">
        <v>5.5</v>
      </c>
      <c r="R34" s="147" t="s">
        <v>72</v>
      </c>
      <c r="S34" s="147" t="s">
        <v>156</v>
      </c>
      <c r="T34" s="147" t="s">
        <v>74</v>
      </c>
      <c r="U34" s="148">
        <v>21667800</v>
      </c>
      <c r="V34" s="148">
        <v>21667800</v>
      </c>
      <c r="W34" s="147" t="s">
        <v>75</v>
      </c>
      <c r="X34" s="147" t="s">
        <v>67</v>
      </c>
      <c r="Y34" s="147" t="s">
        <v>157</v>
      </c>
      <c r="Z34" s="147" t="s">
        <v>158</v>
      </c>
      <c r="AA34" s="147">
        <v>6012220601</v>
      </c>
      <c r="AB34" s="160" t="s">
        <v>153</v>
      </c>
      <c r="AC34" s="28"/>
      <c r="AD34" s="28"/>
      <c r="AE34" s="28"/>
      <c r="AF34" s="28"/>
      <c r="AG34" s="28"/>
      <c r="AH34" s="28"/>
      <c r="AI34" s="28"/>
      <c r="AJ34" s="28"/>
      <c r="AK34" s="28"/>
      <c r="AL34" s="28"/>
      <c r="AM34" s="28"/>
      <c r="AN34" s="28"/>
      <c r="AO34" s="28"/>
      <c r="AP34" s="28"/>
      <c r="AQ34" s="28">
        <v>21667800</v>
      </c>
      <c r="AR34" s="28"/>
      <c r="AS34" s="28"/>
      <c r="AT34" s="28"/>
      <c r="AU34" s="25"/>
      <c r="AV34" s="25">
        <v>4500000</v>
      </c>
      <c r="AW34" s="25"/>
      <c r="AX34" s="25">
        <v>4500000</v>
      </c>
      <c r="AY34" s="25"/>
      <c r="AZ34" s="25">
        <f>9000000+3667800</f>
        <v>12667800</v>
      </c>
      <c r="BA34" s="17"/>
      <c r="BB34" s="17"/>
      <c r="BC34" s="18">
        <f t="shared" ref="BC34:BD34" si="28">AC34+AE34+AG34+AI34+AK34+AM34+AO34+AQ34+AS34+AU34+AW34+AY34+BA34</f>
        <v>21667800</v>
      </c>
      <c r="BD34" s="18">
        <f t="shared" si="28"/>
        <v>21667800</v>
      </c>
      <c r="BE34" s="19">
        <f t="shared" si="1"/>
        <v>0</v>
      </c>
      <c r="BF34" s="20">
        <f t="shared" si="2"/>
        <v>0</v>
      </c>
      <c r="BG34" s="20">
        <f t="shared" si="3"/>
        <v>0</v>
      </c>
    </row>
    <row r="35" spans="1:59" ht="15" customHeight="1">
      <c r="A35" s="147" t="s">
        <v>59</v>
      </c>
      <c r="B35" s="147" t="s">
        <v>60</v>
      </c>
      <c r="C35" s="151" t="s">
        <v>61</v>
      </c>
      <c r="D35" s="151" t="s">
        <v>62</v>
      </c>
      <c r="E35" s="151">
        <v>39</v>
      </c>
      <c r="F35" s="149" t="s">
        <v>170</v>
      </c>
      <c r="G35" s="147" t="s">
        <v>64</v>
      </c>
      <c r="H35" s="149" t="s">
        <v>80</v>
      </c>
      <c r="I35" s="149" t="s">
        <v>96</v>
      </c>
      <c r="J35" s="173">
        <v>80111620</v>
      </c>
      <c r="K35" s="149" t="s">
        <v>82</v>
      </c>
      <c r="L35" s="147" t="s">
        <v>83</v>
      </c>
      <c r="M35" s="147" t="s">
        <v>171</v>
      </c>
      <c r="N35" s="147" t="s">
        <v>142</v>
      </c>
      <c r="O35" s="147" t="s">
        <v>142</v>
      </c>
      <c r="P35" s="147" t="s">
        <v>142</v>
      </c>
      <c r="Q35" s="147">
        <v>4.5</v>
      </c>
      <c r="R35" s="147" t="s">
        <v>72</v>
      </c>
      <c r="S35" s="147" t="s">
        <v>156</v>
      </c>
      <c r="T35" s="147" t="s">
        <v>74</v>
      </c>
      <c r="U35" s="148">
        <v>15150000</v>
      </c>
      <c r="V35" s="148">
        <v>15150000</v>
      </c>
      <c r="W35" s="147" t="s">
        <v>75</v>
      </c>
      <c r="X35" s="147" t="s">
        <v>67</v>
      </c>
      <c r="Y35" s="147" t="s">
        <v>172</v>
      </c>
      <c r="Z35" s="147" t="s">
        <v>173</v>
      </c>
      <c r="AA35" s="147">
        <v>6012220601</v>
      </c>
      <c r="AB35" s="160" t="s">
        <v>174</v>
      </c>
      <c r="AC35" s="28"/>
      <c r="AD35" s="28"/>
      <c r="AE35" s="28"/>
      <c r="AF35" s="28"/>
      <c r="AG35" s="28"/>
      <c r="AH35" s="28"/>
      <c r="AI35" s="28"/>
      <c r="AJ35" s="28"/>
      <c r="AK35" s="28"/>
      <c r="AL35" s="28"/>
      <c r="AM35" s="28"/>
      <c r="AN35" s="28"/>
      <c r="AO35" s="28"/>
      <c r="AP35" s="28"/>
      <c r="AQ35" s="28"/>
      <c r="AR35" s="28"/>
      <c r="AS35" s="28">
        <v>15150000</v>
      </c>
      <c r="AT35" s="28"/>
      <c r="AU35" s="25"/>
      <c r="AV35" s="25"/>
      <c r="AW35" s="25"/>
      <c r="AX35" s="25">
        <v>8000000</v>
      </c>
      <c r="AY35" s="25"/>
      <c r="AZ35" s="25">
        <v>7150000</v>
      </c>
      <c r="BA35" s="17"/>
      <c r="BB35" s="17"/>
      <c r="BC35" s="18">
        <f t="shared" ref="BC35:BD35" si="29">AC35+AE35+AG35+AI35+AK35+AM35+AO35+AQ35+AS35+AU35+AW35+AY35+BA35</f>
        <v>15150000</v>
      </c>
      <c r="BD35" s="18">
        <f t="shared" si="29"/>
        <v>15150000</v>
      </c>
      <c r="BE35" s="19">
        <f t="shared" si="1"/>
        <v>0</v>
      </c>
      <c r="BF35" s="20">
        <f t="shared" si="2"/>
        <v>0</v>
      </c>
      <c r="BG35" s="20">
        <f t="shared" si="3"/>
        <v>0</v>
      </c>
    </row>
    <row r="36" spans="1:59" ht="15" customHeight="1">
      <c r="A36" s="147" t="s">
        <v>59</v>
      </c>
      <c r="B36" s="147" t="s">
        <v>60</v>
      </c>
      <c r="C36" s="151" t="s">
        <v>61</v>
      </c>
      <c r="D36" s="151" t="s">
        <v>62</v>
      </c>
      <c r="E36" s="151">
        <v>44</v>
      </c>
      <c r="F36" s="149" t="s">
        <v>175</v>
      </c>
      <c r="G36" s="147" t="s">
        <v>64</v>
      </c>
      <c r="H36" s="149" t="s">
        <v>80</v>
      </c>
      <c r="I36" s="149" t="s">
        <v>96</v>
      </c>
      <c r="J36" s="173">
        <v>80111620</v>
      </c>
      <c r="K36" s="149" t="s">
        <v>82</v>
      </c>
      <c r="L36" s="147" t="s">
        <v>83</v>
      </c>
      <c r="M36" s="147" t="s">
        <v>176</v>
      </c>
      <c r="N36" s="147" t="s">
        <v>71</v>
      </c>
      <c r="O36" s="147" t="s">
        <v>71</v>
      </c>
      <c r="P36" s="147" t="s">
        <v>71</v>
      </c>
      <c r="Q36" s="147">
        <v>3</v>
      </c>
      <c r="R36" s="147" t="s">
        <v>72</v>
      </c>
      <c r="S36" s="147" t="s">
        <v>156</v>
      </c>
      <c r="T36" s="147" t="s">
        <v>74</v>
      </c>
      <c r="U36" s="148">
        <v>9767800</v>
      </c>
      <c r="V36" s="148">
        <v>9767800</v>
      </c>
      <c r="W36" s="147" t="s">
        <v>75</v>
      </c>
      <c r="X36" s="147" t="s">
        <v>67</v>
      </c>
      <c r="Y36" s="147" t="s">
        <v>163</v>
      </c>
      <c r="Z36" s="147" t="s">
        <v>164</v>
      </c>
      <c r="AA36" s="147">
        <v>6012220601</v>
      </c>
      <c r="AB36" s="160" t="s">
        <v>165</v>
      </c>
      <c r="AC36" s="28"/>
      <c r="AD36" s="28"/>
      <c r="AE36" s="28"/>
      <c r="AF36" s="28"/>
      <c r="AG36" s="28"/>
      <c r="AH36" s="28"/>
      <c r="AI36" s="28"/>
      <c r="AJ36" s="28"/>
      <c r="AK36" s="28"/>
      <c r="AL36" s="28"/>
      <c r="AM36" s="28"/>
      <c r="AN36" s="28"/>
      <c r="AO36" s="28"/>
      <c r="AP36" s="28"/>
      <c r="AQ36" s="28"/>
      <c r="AR36" s="28"/>
      <c r="AS36" s="28"/>
      <c r="AT36" s="28"/>
      <c r="AU36" s="24">
        <v>9767800</v>
      </c>
      <c r="AV36" s="25"/>
      <c r="AW36" s="25"/>
      <c r="AX36" s="25"/>
      <c r="AY36" s="25"/>
      <c r="AZ36" s="25">
        <v>9767800</v>
      </c>
      <c r="BA36" s="17"/>
      <c r="BB36" s="17"/>
      <c r="BC36" s="18">
        <f t="shared" ref="BC36:BD36" si="30">AC36+AE36+AG36+AI36+AK36+AM36+AO36+AQ36+AS36+AU36+AW36+AY36+BA36</f>
        <v>9767800</v>
      </c>
      <c r="BD36" s="18">
        <f t="shared" si="30"/>
        <v>9767800</v>
      </c>
      <c r="BE36" s="19">
        <f t="shared" si="1"/>
        <v>0</v>
      </c>
      <c r="BF36" s="20">
        <f t="shared" si="2"/>
        <v>0</v>
      </c>
      <c r="BG36" s="20">
        <f t="shared" si="3"/>
        <v>0</v>
      </c>
    </row>
    <row r="37" spans="1:59" ht="15" customHeight="1">
      <c r="A37" s="147" t="s">
        <v>59</v>
      </c>
      <c r="B37" s="147" t="s">
        <v>60</v>
      </c>
      <c r="C37" s="151" t="s">
        <v>61</v>
      </c>
      <c r="D37" s="151" t="s">
        <v>62</v>
      </c>
      <c r="E37" s="151">
        <v>47</v>
      </c>
      <c r="F37" s="149" t="s">
        <v>177</v>
      </c>
      <c r="G37" s="147" t="s">
        <v>64</v>
      </c>
      <c r="H37" s="149" t="s">
        <v>80</v>
      </c>
      <c r="I37" s="149" t="s">
        <v>96</v>
      </c>
      <c r="J37" s="173">
        <v>80111620</v>
      </c>
      <c r="K37" s="149" t="s">
        <v>82</v>
      </c>
      <c r="L37" s="147" t="s">
        <v>83</v>
      </c>
      <c r="M37" s="147" t="s">
        <v>178</v>
      </c>
      <c r="N37" s="147" t="s">
        <v>179</v>
      </c>
      <c r="O37" s="147" t="s">
        <v>179</v>
      </c>
      <c r="P37" s="147" t="s">
        <v>180</v>
      </c>
      <c r="Q37" s="147">
        <v>3</v>
      </c>
      <c r="R37" s="147" t="s">
        <v>72</v>
      </c>
      <c r="S37" s="147" t="s">
        <v>156</v>
      </c>
      <c r="T37" s="147" t="s">
        <v>74</v>
      </c>
      <c r="U37" s="148">
        <v>10088790</v>
      </c>
      <c r="V37" s="148">
        <v>10088790</v>
      </c>
      <c r="W37" s="147" t="s">
        <v>75</v>
      </c>
      <c r="X37" s="147" t="s">
        <v>67</v>
      </c>
      <c r="Y37" s="147" t="s">
        <v>157</v>
      </c>
      <c r="Z37" s="147" t="s">
        <v>158</v>
      </c>
      <c r="AA37" s="147">
        <v>6012220601</v>
      </c>
      <c r="AB37" s="160" t="s">
        <v>153</v>
      </c>
      <c r="AC37" s="28"/>
      <c r="AD37" s="28"/>
      <c r="AE37" s="28"/>
      <c r="AF37" s="28"/>
      <c r="AG37" s="28"/>
      <c r="AH37" s="28"/>
      <c r="AI37" s="28"/>
      <c r="AJ37" s="28"/>
      <c r="AK37" s="28"/>
      <c r="AL37" s="28"/>
      <c r="AM37" s="28"/>
      <c r="AN37" s="28"/>
      <c r="AO37" s="28"/>
      <c r="AP37" s="28"/>
      <c r="AQ37" s="28"/>
      <c r="AR37" s="28"/>
      <c r="AS37" s="28"/>
      <c r="AT37" s="28"/>
      <c r="AU37" s="25">
        <v>10088790</v>
      </c>
      <c r="AV37" s="25"/>
      <c r="AW37" s="25"/>
      <c r="AX37" s="25">
        <v>3088790</v>
      </c>
      <c r="AY37" s="25"/>
      <c r="AZ37" s="25">
        <v>7000000</v>
      </c>
      <c r="BA37" s="17"/>
      <c r="BB37" s="17"/>
      <c r="BC37" s="18">
        <f t="shared" ref="BC37:BD37" si="31">AC37+AE37+AG37+AI37+AK37+AM37+AO37+AQ37+AS37+AU37+AW37+AY37+BA37</f>
        <v>10088790</v>
      </c>
      <c r="BD37" s="18">
        <f t="shared" si="31"/>
        <v>10088790</v>
      </c>
      <c r="BE37" s="19">
        <f t="shared" si="1"/>
        <v>0</v>
      </c>
      <c r="BF37" s="20">
        <f t="shared" si="2"/>
        <v>0</v>
      </c>
      <c r="BG37" s="20">
        <f t="shared" si="3"/>
        <v>0</v>
      </c>
    </row>
    <row r="38" spans="1:59" ht="15" customHeight="1">
      <c r="A38" s="147" t="s">
        <v>59</v>
      </c>
      <c r="B38" s="147" t="s">
        <v>60</v>
      </c>
      <c r="C38" s="151" t="s">
        <v>61</v>
      </c>
      <c r="D38" s="151" t="s">
        <v>62</v>
      </c>
      <c r="E38" s="151">
        <v>48</v>
      </c>
      <c r="F38" s="149" t="s">
        <v>181</v>
      </c>
      <c r="G38" s="147" t="s">
        <v>64</v>
      </c>
      <c r="H38" s="149" t="s">
        <v>65</v>
      </c>
      <c r="I38" s="149" t="s">
        <v>66</v>
      </c>
      <c r="J38" s="173">
        <v>80111620</v>
      </c>
      <c r="K38" s="147" t="s">
        <v>68</v>
      </c>
      <c r="L38" s="147" t="s">
        <v>83</v>
      </c>
      <c r="M38" s="147" t="s">
        <v>182</v>
      </c>
      <c r="N38" s="147" t="s">
        <v>180</v>
      </c>
      <c r="O38" s="147" t="s">
        <v>180</v>
      </c>
      <c r="P38" s="147" t="s">
        <v>180</v>
      </c>
      <c r="Q38" s="147">
        <v>2.5</v>
      </c>
      <c r="R38" s="147" t="s">
        <v>72</v>
      </c>
      <c r="S38" s="147" t="s">
        <v>183</v>
      </c>
      <c r="T38" s="147" t="s">
        <v>74</v>
      </c>
      <c r="U38" s="148">
        <v>18000000</v>
      </c>
      <c r="V38" s="148">
        <v>18000000</v>
      </c>
      <c r="W38" s="147" t="s">
        <v>75</v>
      </c>
      <c r="X38" s="147" t="s">
        <v>67</v>
      </c>
      <c r="Y38" s="147" t="s">
        <v>184</v>
      </c>
      <c r="Z38" s="147" t="s">
        <v>158</v>
      </c>
      <c r="AA38" s="147">
        <v>6012220601</v>
      </c>
      <c r="AB38" s="178" t="s">
        <v>94</v>
      </c>
      <c r="AC38" s="28"/>
      <c r="AD38" s="28"/>
      <c r="AE38" s="28"/>
      <c r="AF38" s="28"/>
      <c r="AG38" s="28"/>
      <c r="AH38" s="28"/>
      <c r="AI38" s="28"/>
      <c r="AJ38" s="28"/>
      <c r="AK38" s="28"/>
      <c r="AL38" s="28"/>
      <c r="AM38" s="28"/>
      <c r="AN38" s="28"/>
      <c r="AO38" s="28"/>
      <c r="AP38" s="28"/>
      <c r="AQ38" s="28"/>
      <c r="AR38" s="28"/>
      <c r="AS38" s="28"/>
      <c r="AT38" s="28"/>
      <c r="AU38" s="25">
        <v>18000000</v>
      </c>
      <c r="AV38" s="25"/>
      <c r="AW38" s="25"/>
      <c r="AX38" s="25">
        <v>3600000</v>
      </c>
      <c r="AY38" s="25"/>
      <c r="AZ38" s="25">
        <v>14400000</v>
      </c>
      <c r="BA38" s="17"/>
      <c r="BB38" s="17"/>
      <c r="BC38" s="18">
        <f t="shared" ref="BC38:BD38" si="32">AC38+AE38+AG38+AI38+AK38+AM38+AO38+AQ38+AS38+AU38+AW38+AY38+BA38</f>
        <v>18000000</v>
      </c>
      <c r="BD38" s="18">
        <f t="shared" si="32"/>
        <v>18000000</v>
      </c>
      <c r="BE38" s="19">
        <f t="shared" si="1"/>
        <v>0</v>
      </c>
      <c r="BF38" s="20">
        <f t="shared" si="2"/>
        <v>0</v>
      </c>
      <c r="BG38" s="20">
        <f t="shared" si="3"/>
        <v>0</v>
      </c>
    </row>
    <row r="39" spans="1:59" ht="15" customHeight="1">
      <c r="A39" s="147" t="s">
        <v>59</v>
      </c>
      <c r="B39" s="147" t="s">
        <v>60</v>
      </c>
      <c r="C39" s="151" t="s">
        <v>61</v>
      </c>
      <c r="D39" s="151" t="s">
        <v>62</v>
      </c>
      <c r="E39" s="151">
        <v>48</v>
      </c>
      <c r="F39" s="149" t="s">
        <v>185</v>
      </c>
      <c r="G39" s="147" t="s">
        <v>64</v>
      </c>
      <c r="H39" s="149" t="s">
        <v>65</v>
      </c>
      <c r="I39" s="149" t="s">
        <v>66</v>
      </c>
      <c r="J39" s="173">
        <v>80111620</v>
      </c>
      <c r="K39" s="147" t="s">
        <v>68</v>
      </c>
      <c r="L39" s="147" t="s">
        <v>83</v>
      </c>
      <c r="M39" s="147" t="s">
        <v>186</v>
      </c>
      <c r="N39" s="147" t="s">
        <v>180</v>
      </c>
      <c r="O39" s="147" t="s">
        <v>180</v>
      </c>
      <c r="P39" s="147" t="s">
        <v>180</v>
      </c>
      <c r="Q39" s="147">
        <v>2.5</v>
      </c>
      <c r="R39" s="147" t="s">
        <v>72</v>
      </c>
      <c r="S39" s="147" t="s">
        <v>183</v>
      </c>
      <c r="T39" s="147" t="s">
        <v>74</v>
      </c>
      <c r="U39" s="148">
        <v>10000000</v>
      </c>
      <c r="V39" s="148">
        <v>10000000</v>
      </c>
      <c r="W39" s="147" t="s">
        <v>75</v>
      </c>
      <c r="X39" s="147" t="s">
        <v>67</v>
      </c>
      <c r="Y39" s="147" t="s">
        <v>184</v>
      </c>
      <c r="Z39" s="147" t="s">
        <v>158</v>
      </c>
      <c r="AA39" s="147">
        <v>6012220601</v>
      </c>
      <c r="AB39" s="178" t="s">
        <v>94</v>
      </c>
      <c r="AC39" s="28"/>
      <c r="AD39" s="28"/>
      <c r="AE39" s="28"/>
      <c r="AF39" s="28"/>
      <c r="AG39" s="28"/>
      <c r="AH39" s="28"/>
      <c r="AI39" s="28"/>
      <c r="AJ39" s="28"/>
      <c r="AK39" s="28"/>
      <c r="AL39" s="28"/>
      <c r="AM39" s="28"/>
      <c r="AN39" s="28"/>
      <c r="AO39" s="28"/>
      <c r="AP39" s="28"/>
      <c r="AQ39" s="28"/>
      <c r="AR39" s="28"/>
      <c r="AS39" s="28"/>
      <c r="AT39" s="28"/>
      <c r="AU39" s="25">
        <v>10000000</v>
      </c>
      <c r="AV39" s="25"/>
      <c r="AW39" s="25"/>
      <c r="AX39" s="25">
        <v>2000000</v>
      </c>
      <c r="AY39" s="25"/>
      <c r="AZ39" s="25">
        <v>8000000</v>
      </c>
      <c r="BA39" s="17"/>
      <c r="BB39" s="17"/>
      <c r="BC39" s="18">
        <f t="shared" ref="BC39:BD39" si="33">AC39+AE39+AG39+AI39+AK39+AM39+AO39+AQ39+AS39+AU39+AW39+AY39+BA39</f>
        <v>10000000</v>
      </c>
      <c r="BD39" s="18">
        <f t="shared" si="33"/>
        <v>10000000</v>
      </c>
      <c r="BE39" s="19">
        <f t="shared" si="1"/>
        <v>0</v>
      </c>
      <c r="BF39" s="20">
        <f t="shared" si="2"/>
        <v>0</v>
      </c>
      <c r="BG39" s="20">
        <f t="shared" si="3"/>
        <v>0</v>
      </c>
    </row>
    <row r="40" spans="1:59" ht="14.25" customHeight="1">
      <c r="A40" s="147" t="s">
        <v>59</v>
      </c>
      <c r="B40" s="147" t="s">
        <v>187</v>
      </c>
      <c r="C40" s="151" t="s">
        <v>61</v>
      </c>
      <c r="D40" s="151" t="s">
        <v>62</v>
      </c>
      <c r="E40" s="151">
        <v>40</v>
      </c>
      <c r="F40" s="149" t="s">
        <v>188</v>
      </c>
      <c r="G40" s="147" t="s">
        <v>189</v>
      </c>
      <c r="H40" s="149" t="s">
        <v>190</v>
      </c>
      <c r="I40" s="149" t="s">
        <v>191</v>
      </c>
      <c r="J40" s="173">
        <v>80111620</v>
      </c>
      <c r="K40" s="149" t="s">
        <v>192</v>
      </c>
      <c r="L40" s="147" t="s">
        <v>83</v>
      </c>
      <c r="M40" s="149" t="s">
        <v>193</v>
      </c>
      <c r="N40" s="179" t="s">
        <v>91</v>
      </c>
      <c r="O40" s="179" t="s">
        <v>91</v>
      </c>
      <c r="P40" s="179" t="s">
        <v>91</v>
      </c>
      <c r="Q40" s="147">
        <v>11.5</v>
      </c>
      <c r="R40" s="147" t="s">
        <v>72</v>
      </c>
      <c r="S40" s="147" t="s">
        <v>73</v>
      </c>
      <c r="T40" s="147" t="s">
        <v>74</v>
      </c>
      <c r="U40" s="180">
        <v>127600000</v>
      </c>
      <c r="V40" s="180">
        <v>127600000</v>
      </c>
      <c r="W40" s="147" t="s">
        <v>75</v>
      </c>
      <c r="X40" s="147" t="s">
        <v>67</v>
      </c>
      <c r="Y40" s="147" t="s">
        <v>194</v>
      </c>
      <c r="Z40" s="147" t="s">
        <v>195</v>
      </c>
      <c r="AA40" s="147">
        <v>6012220601</v>
      </c>
      <c r="AB40" s="160" t="s">
        <v>196</v>
      </c>
      <c r="AC40" s="14">
        <v>126500000</v>
      </c>
      <c r="AD40" s="14"/>
      <c r="AE40" s="14"/>
      <c r="AF40" s="14">
        <v>6600000</v>
      </c>
      <c r="AG40" s="14"/>
      <c r="AH40" s="14">
        <v>11000000</v>
      </c>
      <c r="AI40" s="14"/>
      <c r="AJ40" s="14">
        <v>11000000</v>
      </c>
      <c r="AK40" s="14"/>
      <c r="AL40" s="14">
        <v>11000000</v>
      </c>
      <c r="AM40" s="14"/>
      <c r="AN40" s="14">
        <v>11000000</v>
      </c>
      <c r="AO40" s="14"/>
      <c r="AP40" s="14">
        <v>11000000</v>
      </c>
      <c r="AQ40" s="14"/>
      <c r="AR40" s="14">
        <v>11000000</v>
      </c>
      <c r="AS40" s="14"/>
      <c r="AT40" s="14">
        <v>11000000</v>
      </c>
      <c r="AU40" s="25"/>
      <c r="AV40" s="25">
        <v>11000000</v>
      </c>
      <c r="AW40" s="25"/>
      <c r="AX40" s="25">
        <v>11000000</v>
      </c>
      <c r="AY40" s="25">
        <v>1100000</v>
      </c>
      <c r="AZ40" s="25">
        <v>22000000</v>
      </c>
      <c r="BA40" s="17"/>
      <c r="BB40" s="17"/>
      <c r="BC40" s="18">
        <f t="shared" ref="BC40:BD40" si="34">AC40+AE40+AG40+AI40+AK40+AM40+AO40+AQ40+AS40+AU40+AW40+AY40+BA40</f>
        <v>127600000</v>
      </c>
      <c r="BD40" s="18">
        <f t="shared" si="34"/>
        <v>127600000</v>
      </c>
      <c r="BE40" s="19">
        <f t="shared" si="1"/>
        <v>0</v>
      </c>
      <c r="BF40" s="20">
        <f t="shared" si="2"/>
        <v>0</v>
      </c>
      <c r="BG40" s="20">
        <f t="shared" si="3"/>
        <v>0</v>
      </c>
    </row>
    <row r="41" spans="1:59" ht="14.25" customHeight="1">
      <c r="A41" s="147" t="s">
        <v>59</v>
      </c>
      <c r="B41" s="147" t="s">
        <v>187</v>
      </c>
      <c r="C41" s="151" t="s">
        <v>61</v>
      </c>
      <c r="D41" s="151" t="s">
        <v>62</v>
      </c>
      <c r="E41" s="151" t="s">
        <v>114</v>
      </c>
      <c r="F41" s="149" t="s">
        <v>197</v>
      </c>
      <c r="G41" s="147" t="s">
        <v>189</v>
      </c>
      <c r="H41" s="149" t="s">
        <v>190</v>
      </c>
      <c r="I41" s="149" t="s">
        <v>191</v>
      </c>
      <c r="J41" s="173">
        <v>80111620</v>
      </c>
      <c r="K41" s="149" t="s">
        <v>192</v>
      </c>
      <c r="L41" s="147" t="s">
        <v>83</v>
      </c>
      <c r="M41" s="149" t="s">
        <v>198</v>
      </c>
      <c r="N41" s="179" t="s">
        <v>91</v>
      </c>
      <c r="O41" s="179" t="s">
        <v>91</v>
      </c>
      <c r="P41" s="179" t="s">
        <v>85</v>
      </c>
      <c r="Q41" s="147">
        <v>11</v>
      </c>
      <c r="R41" s="147" t="s">
        <v>72</v>
      </c>
      <c r="S41" s="147" t="s">
        <v>73</v>
      </c>
      <c r="T41" s="147" t="s">
        <v>74</v>
      </c>
      <c r="U41" s="167">
        <v>39754000</v>
      </c>
      <c r="V41" s="148">
        <v>39754000</v>
      </c>
      <c r="W41" s="147" t="s">
        <v>75</v>
      </c>
      <c r="X41" s="147" t="s">
        <v>67</v>
      </c>
      <c r="Y41" s="147" t="s">
        <v>194</v>
      </c>
      <c r="Z41" s="147" t="s">
        <v>195</v>
      </c>
      <c r="AA41" s="147">
        <v>6012220601</v>
      </c>
      <c r="AB41" s="160" t="s">
        <v>196</v>
      </c>
      <c r="AC41" s="14"/>
      <c r="AD41" s="14"/>
      <c r="AE41" s="14">
        <v>39754000</v>
      </c>
      <c r="AF41" s="14"/>
      <c r="AG41" s="14"/>
      <c r="AH41" s="14">
        <v>1807000</v>
      </c>
      <c r="AI41" s="14"/>
      <c r="AJ41" s="14">
        <v>3794700</v>
      </c>
      <c r="AK41" s="14"/>
      <c r="AL41" s="14">
        <v>3794700</v>
      </c>
      <c r="AM41" s="14"/>
      <c r="AN41" s="14">
        <v>3794700</v>
      </c>
      <c r="AO41" s="14"/>
      <c r="AP41" s="14">
        <v>3794700</v>
      </c>
      <c r="AQ41" s="14"/>
      <c r="AR41" s="14">
        <v>3794700</v>
      </c>
      <c r="AS41" s="14"/>
      <c r="AT41" s="14">
        <v>3794700</v>
      </c>
      <c r="AU41" s="25"/>
      <c r="AV41" s="28">
        <v>3794700</v>
      </c>
      <c r="AW41" s="25"/>
      <c r="AX41" s="28">
        <v>3794700</v>
      </c>
      <c r="AY41" s="25"/>
      <c r="AZ41" s="28">
        <v>7589400</v>
      </c>
      <c r="BA41" s="17"/>
      <c r="BB41" s="17"/>
      <c r="BC41" s="18">
        <f t="shared" ref="BC41:BD41" si="35">AC41+AE41+AG41+AI41+AK41+AM41+AO41+AQ41+AS41+AU41+AW41+AY41+BA41</f>
        <v>39754000</v>
      </c>
      <c r="BD41" s="18">
        <f t="shared" si="35"/>
        <v>39754000</v>
      </c>
      <c r="BE41" s="19">
        <f t="shared" si="1"/>
        <v>0</v>
      </c>
      <c r="BF41" s="20">
        <f t="shared" si="2"/>
        <v>0</v>
      </c>
      <c r="BG41" s="20">
        <f t="shared" si="3"/>
        <v>0</v>
      </c>
    </row>
    <row r="42" spans="1:59" ht="14.25" customHeight="1">
      <c r="A42" s="147" t="s">
        <v>59</v>
      </c>
      <c r="B42" s="147" t="s">
        <v>187</v>
      </c>
      <c r="C42" s="151" t="s">
        <v>61</v>
      </c>
      <c r="D42" s="151" t="s">
        <v>62</v>
      </c>
      <c r="E42" s="151">
        <v>40</v>
      </c>
      <c r="F42" s="149" t="s">
        <v>199</v>
      </c>
      <c r="G42" s="147" t="s">
        <v>189</v>
      </c>
      <c r="H42" s="149" t="s">
        <v>190</v>
      </c>
      <c r="I42" s="149" t="s">
        <v>191</v>
      </c>
      <c r="J42" s="173">
        <v>80111620</v>
      </c>
      <c r="K42" s="149" t="s">
        <v>192</v>
      </c>
      <c r="L42" s="147" t="s">
        <v>83</v>
      </c>
      <c r="M42" s="149" t="s">
        <v>200</v>
      </c>
      <c r="N42" s="147" t="s">
        <v>91</v>
      </c>
      <c r="O42" s="147" t="s">
        <v>91</v>
      </c>
      <c r="P42" s="149" t="s">
        <v>85</v>
      </c>
      <c r="Q42" s="149">
        <v>7</v>
      </c>
      <c r="R42" s="147" t="s">
        <v>72</v>
      </c>
      <c r="S42" s="147" t="s">
        <v>73</v>
      </c>
      <c r="T42" s="147" t="s">
        <v>74</v>
      </c>
      <c r="U42" s="171">
        <v>10911504</v>
      </c>
      <c r="V42" s="171">
        <v>10911504</v>
      </c>
      <c r="W42" s="147" t="s">
        <v>75</v>
      </c>
      <c r="X42" s="147" t="s">
        <v>67</v>
      </c>
      <c r="Y42" s="147" t="s">
        <v>194</v>
      </c>
      <c r="Z42" s="147" t="s">
        <v>195</v>
      </c>
      <c r="AA42" s="147">
        <v>6012220601</v>
      </c>
      <c r="AB42" s="160" t="s">
        <v>196</v>
      </c>
      <c r="AC42" s="14"/>
      <c r="AD42" s="14"/>
      <c r="AE42" s="14">
        <v>10865541</v>
      </c>
      <c r="AF42" s="14"/>
      <c r="AG42" s="14"/>
      <c r="AH42" s="14"/>
      <c r="AI42" s="14"/>
      <c r="AJ42" s="14"/>
      <c r="AK42" s="14"/>
      <c r="AL42" s="14"/>
      <c r="AM42" s="14"/>
      <c r="AN42" s="14"/>
      <c r="AO42" s="14"/>
      <c r="AP42" s="14"/>
      <c r="AQ42" s="14"/>
      <c r="AR42" s="14">
        <v>2865541</v>
      </c>
      <c r="AS42" s="14"/>
      <c r="AT42" s="14">
        <v>6666667</v>
      </c>
      <c r="AU42" s="25"/>
      <c r="AV42" s="28">
        <v>1333333</v>
      </c>
      <c r="AW42" s="25"/>
      <c r="AX42" s="28">
        <v>0</v>
      </c>
      <c r="AY42" s="28"/>
      <c r="AZ42" s="30"/>
      <c r="BA42" s="33">
        <v>45963</v>
      </c>
      <c r="BB42" s="33">
        <v>45963</v>
      </c>
      <c r="BC42" s="18">
        <f t="shared" ref="BC42:BD42" si="36">AC42+AE42+AG42+AI42+AK42+AM42+AO42+AQ42+AS42+AU42+AW42+AY42+BA42</f>
        <v>10911504</v>
      </c>
      <c r="BD42" s="18">
        <f t="shared" si="36"/>
        <v>10911504</v>
      </c>
      <c r="BE42" s="19">
        <f t="shared" si="1"/>
        <v>0</v>
      </c>
      <c r="BF42" s="20">
        <f t="shared" si="2"/>
        <v>0</v>
      </c>
      <c r="BG42" s="20">
        <f t="shared" si="3"/>
        <v>0</v>
      </c>
    </row>
    <row r="43" spans="1:59" ht="14.25" customHeight="1">
      <c r="A43" s="147" t="s">
        <v>59</v>
      </c>
      <c r="B43" s="147" t="s">
        <v>187</v>
      </c>
      <c r="C43" s="151" t="s">
        <v>61</v>
      </c>
      <c r="D43" s="151" t="s">
        <v>62</v>
      </c>
      <c r="E43" s="151">
        <v>41</v>
      </c>
      <c r="F43" s="149" t="s">
        <v>201</v>
      </c>
      <c r="G43" s="147" t="s">
        <v>189</v>
      </c>
      <c r="H43" s="149" t="s">
        <v>190</v>
      </c>
      <c r="I43" s="149" t="s">
        <v>202</v>
      </c>
      <c r="J43" s="173">
        <v>80111620</v>
      </c>
      <c r="K43" s="149" t="s">
        <v>192</v>
      </c>
      <c r="L43" s="147" t="s">
        <v>83</v>
      </c>
      <c r="M43" s="149" t="s">
        <v>203</v>
      </c>
      <c r="N43" s="179" t="s">
        <v>91</v>
      </c>
      <c r="O43" s="179" t="s">
        <v>91</v>
      </c>
      <c r="P43" s="179" t="s">
        <v>85</v>
      </c>
      <c r="Q43" s="147">
        <v>11</v>
      </c>
      <c r="R43" s="147" t="s">
        <v>72</v>
      </c>
      <c r="S43" s="147" t="s">
        <v>73</v>
      </c>
      <c r="T43" s="147" t="s">
        <v>74</v>
      </c>
      <c r="U43" s="167">
        <v>45600000</v>
      </c>
      <c r="V43" s="167">
        <v>45600000</v>
      </c>
      <c r="W43" s="147" t="s">
        <v>75</v>
      </c>
      <c r="X43" s="147" t="s">
        <v>67</v>
      </c>
      <c r="Y43" s="147" t="s">
        <v>194</v>
      </c>
      <c r="Z43" s="147" t="s">
        <v>195</v>
      </c>
      <c r="AA43" s="147">
        <v>6012220601</v>
      </c>
      <c r="AB43" s="160" t="s">
        <v>196</v>
      </c>
      <c r="AC43" s="14">
        <v>99000000</v>
      </c>
      <c r="AD43" s="14"/>
      <c r="AE43" s="14"/>
      <c r="AF43" s="14">
        <v>600000</v>
      </c>
      <c r="AG43" s="14"/>
      <c r="AH43" s="14">
        <v>9000000</v>
      </c>
      <c r="AI43" s="14"/>
      <c r="AJ43" s="14">
        <v>9000000</v>
      </c>
      <c r="AK43" s="14"/>
      <c r="AL43" s="14">
        <v>9000000</v>
      </c>
      <c r="AM43" s="14"/>
      <c r="AN43" s="14"/>
      <c r="AO43" s="14">
        <v>-53400000</v>
      </c>
      <c r="AP43" s="14"/>
      <c r="AQ43" s="14"/>
      <c r="AR43" s="14">
        <v>9000000</v>
      </c>
      <c r="AS43" s="14"/>
      <c r="AT43" s="14">
        <v>9000000</v>
      </c>
      <c r="AU43" s="25"/>
      <c r="AV43" s="25"/>
      <c r="AW43" s="25"/>
      <c r="AX43" s="25"/>
      <c r="AY43" s="25"/>
      <c r="AZ43" s="25"/>
      <c r="BA43" s="17"/>
      <c r="BB43" s="17"/>
      <c r="BC43" s="18">
        <f t="shared" ref="BC43:BD43" si="37">AC43+AE43+AG43+AI43+AK43+AM43+AO43+AQ43+AS43+AU43+AW43+AY43+BA43</f>
        <v>45600000</v>
      </c>
      <c r="BD43" s="18">
        <f t="shared" si="37"/>
        <v>45600000</v>
      </c>
      <c r="BE43" s="19">
        <f t="shared" si="1"/>
        <v>0</v>
      </c>
      <c r="BF43" s="20">
        <f t="shared" si="2"/>
        <v>0</v>
      </c>
      <c r="BG43" s="20">
        <f t="shared" si="3"/>
        <v>0</v>
      </c>
    </row>
    <row r="44" spans="1:59" ht="14.25" customHeight="1">
      <c r="A44" s="150" t="s">
        <v>59</v>
      </c>
      <c r="B44" s="150" t="s">
        <v>187</v>
      </c>
      <c r="C44" s="152" t="s">
        <v>61</v>
      </c>
      <c r="D44" s="152" t="s">
        <v>62</v>
      </c>
      <c r="E44" s="152" t="s">
        <v>114</v>
      </c>
      <c r="F44" s="149" t="s">
        <v>204</v>
      </c>
      <c r="G44" s="150" t="s">
        <v>189</v>
      </c>
      <c r="H44" s="150" t="s">
        <v>190</v>
      </c>
      <c r="I44" s="150" t="s">
        <v>202</v>
      </c>
      <c r="J44" s="181">
        <v>80111620</v>
      </c>
      <c r="K44" s="150" t="s">
        <v>192</v>
      </c>
      <c r="L44" s="150" t="s">
        <v>83</v>
      </c>
      <c r="M44" s="150" t="s">
        <v>205</v>
      </c>
      <c r="N44" s="182" t="s">
        <v>91</v>
      </c>
      <c r="O44" s="182" t="s">
        <v>91</v>
      </c>
      <c r="P44" s="182" t="s">
        <v>91</v>
      </c>
      <c r="Q44" s="150">
        <v>11.5</v>
      </c>
      <c r="R44" s="150" t="s">
        <v>72</v>
      </c>
      <c r="S44" s="150" t="s">
        <v>73</v>
      </c>
      <c r="T44" s="150" t="s">
        <v>74</v>
      </c>
      <c r="U44" s="183">
        <v>7918450</v>
      </c>
      <c r="V44" s="183">
        <v>7918450</v>
      </c>
      <c r="W44" s="150" t="s">
        <v>75</v>
      </c>
      <c r="X44" s="150" t="s">
        <v>67</v>
      </c>
      <c r="Y44" s="150" t="s">
        <v>206</v>
      </c>
      <c r="Z44" s="150" t="s">
        <v>207</v>
      </c>
      <c r="AA44" s="150">
        <v>6012220601</v>
      </c>
      <c r="AB44" s="184" t="s">
        <v>208</v>
      </c>
      <c r="AC44" s="35">
        <v>7918450</v>
      </c>
      <c r="AD44" s="35"/>
      <c r="AE44" s="35"/>
      <c r="AF44" s="35"/>
      <c r="AG44" s="35"/>
      <c r="AH44" s="35"/>
      <c r="AI44" s="35"/>
      <c r="AJ44" s="35">
        <v>894712</v>
      </c>
      <c r="AK44" s="35"/>
      <c r="AL44" s="35"/>
      <c r="AM44" s="35"/>
      <c r="AN44" s="35"/>
      <c r="AO44" s="35"/>
      <c r="AP44" s="35"/>
      <c r="AQ44" s="35"/>
      <c r="AR44" s="35"/>
      <c r="AS44" s="35"/>
      <c r="AT44" s="35"/>
      <c r="AU44" s="21"/>
      <c r="AV44" s="21">
        <v>2285039</v>
      </c>
      <c r="AW44" s="21"/>
      <c r="AX44" s="21">
        <f>5633411-894712</f>
        <v>4738699</v>
      </c>
      <c r="AY44" s="21"/>
      <c r="AZ44" s="21"/>
      <c r="BA44" s="17"/>
      <c r="BB44" s="17"/>
      <c r="BC44" s="18">
        <f t="shared" ref="BC44:BD44" si="38">AC44+AE44+AG44+AI44+AK44+AM44+AO44+AQ44+AS44+AU44+AW44+AY44+BA44</f>
        <v>7918450</v>
      </c>
      <c r="BD44" s="18">
        <f t="shared" si="38"/>
        <v>7918450</v>
      </c>
      <c r="BE44" s="19">
        <f t="shared" si="1"/>
        <v>0</v>
      </c>
      <c r="BF44" s="20">
        <f t="shared" si="2"/>
        <v>0</v>
      </c>
      <c r="BG44" s="20">
        <f t="shared" si="3"/>
        <v>0</v>
      </c>
    </row>
    <row r="45" spans="1:59" ht="14.25" customHeight="1">
      <c r="A45" s="150" t="s">
        <v>59</v>
      </c>
      <c r="B45" s="150" t="s">
        <v>187</v>
      </c>
      <c r="C45" s="152" t="s">
        <v>61</v>
      </c>
      <c r="D45" s="152" t="s">
        <v>62</v>
      </c>
      <c r="E45" s="152" t="s">
        <v>114</v>
      </c>
      <c r="F45" s="149" t="s">
        <v>209</v>
      </c>
      <c r="G45" s="150" t="s">
        <v>189</v>
      </c>
      <c r="H45" s="150" t="s">
        <v>190</v>
      </c>
      <c r="I45" s="150" t="s">
        <v>202</v>
      </c>
      <c r="J45" s="181">
        <v>80111620</v>
      </c>
      <c r="K45" s="150" t="s">
        <v>192</v>
      </c>
      <c r="L45" s="150" t="s">
        <v>83</v>
      </c>
      <c r="M45" s="150" t="s">
        <v>210</v>
      </c>
      <c r="N45" s="182" t="s">
        <v>91</v>
      </c>
      <c r="O45" s="182" t="s">
        <v>91</v>
      </c>
      <c r="P45" s="182" t="s">
        <v>91</v>
      </c>
      <c r="Q45" s="150">
        <v>11.5</v>
      </c>
      <c r="R45" s="150" t="s">
        <v>72</v>
      </c>
      <c r="S45" s="150" t="s">
        <v>73</v>
      </c>
      <c r="T45" s="150" t="s">
        <v>74</v>
      </c>
      <c r="U45" s="183">
        <v>7918450</v>
      </c>
      <c r="V45" s="183">
        <v>7918450</v>
      </c>
      <c r="W45" s="150" t="s">
        <v>75</v>
      </c>
      <c r="X45" s="150" t="s">
        <v>67</v>
      </c>
      <c r="Y45" s="150" t="s">
        <v>206</v>
      </c>
      <c r="Z45" s="150" t="s">
        <v>207</v>
      </c>
      <c r="AA45" s="150">
        <v>6012220601</v>
      </c>
      <c r="AB45" s="184" t="s">
        <v>208</v>
      </c>
      <c r="AC45" s="35">
        <v>7918450</v>
      </c>
      <c r="AD45" s="35"/>
      <c r="AE45" s="35"/>
      <c r="AF45" s="35"/>
      <c r="AG45" s="35"/>
      <c r="AH45" s="35"/>
      <c r="AI45" s="35"/>
      <c r="AJ45" s="35"/>
      <c r="AK45" s="35"/>
      <c r="AL45" s="35"/>
      <c r="AM45" s="35"/>
      <c r="AN45" s="35"/>
      <c r="AO45" s="35"/>
      <c r="AP45" s="35"/>
      <c r="AQ45" s="35"/>
      <c r="AR45" s="35"/>
      <c r="AS45" s="35"/>
      <c r="AT45" s="35"/>
      <c r="AU45" s="21"/>
      <c r="AV45" s="21">
        <v>2285039</v>
      </c>
      <c r="AW45" s="21"/>
      <c r="AX45" s="21">
        <v>5633411</v>
      </c>
      <c r="AY45" s="21"/>
      <c r="AZ45" s="21"/>
      <c r="BA45" s="17"/>
      <c r="BB45" s="17"/>
      <c r="BC45" s="18">
        <f t="shared" ref="BC45:BD45" si="39">AC45+AE45+AG45+AI45+AK45+AM45+AO45+AQ45+AS45+AU45+AW45+AY45+BA45</f>
        <v>7918450</v>
      </c>
      <c r="BD45" s="18">
        <f t="shared" si="39"/>
        <v>7918450</v>
      </c>
      <c r="BE45" s="19">
        <f t="shared" si="1"/>
        <v>0</v>
      </c>
      <c r="BF45" s="20">
        <f t="shared" si="2"/>
        <v>0</v>
      </c>
      <c r="BG45" s="20">
        <f t="shared" si="3"/>
        <v>0</v>
      </c>
    </row>
    <row r="46" spans="1:59" ht="14.25" customHeight="1">
      <c r="A46" s="147" t="s">
        <v>59</v>
      </c>
      <c r="B46" s="147" t="s">
        <v>187</v>
      </c>
      <c r="C46" s="151" t="s">
        <v>61</v>
      </c>
      <c r="D46" s="151" t="s">
        <v>62</v>
      </c>
      <c r="E46" s="151">
        <v>13</v>
      </c>
      <c r="F46" s="149" t="s">
        <v>211</v>
      </c>
      <c r="G46" s="147" t="s">
        <v>189</v>
      </c>
      <c r="H46" s="149" t="s">
        <v>190</v>
      </c>
      <c r="I46" s="149" t="s">
        <v>202</v>
      </c>
      <c r="J46" s="173">
        <v>84111603</v>
      </c>
      <c r="K46" s="149" t="s">
        <v>192</v>
      </c>
      <c r="L46" s="147" t="s">
        <v>83</v>
      </c>
      <c r="M46" s="149" t="s">
        <v>212</v>
      </c>
      <c r="N46" s="147" t="s">
        <v>86</v>
      </c>
      <c r="O46" s="147" t="s">
        <v>86</v>
      </c>
      <c r="P46" s="147" t="s">
        <v>86</v>
      </c>
      <c r="Q46" s="147">
        <v>275</v>
      </c>
      <c r="R46" s="147" t="s">
        <v>213</v>
      </c>
      <c r="S46" s="147" t="s">
        <v>73</v>
      </c>
      <c r="T46" s="147" t="s">
        <v>74</v>
      </c>
      <c r="U46" s="167">
        <v>10000000</v>
      </c>
      <c r="V46" s="148">
        <v>10000000</v>
      </c>
      <c r="W46" s="147" t="s">
        <v>75</v>
      </c>
      <c r="X46" s="147" t="s">
        <v>67</v>
      </c>
      <c r="Y46" s="147" t="s">
        <v>194</v>
      </c>
      <c r="Z46" s="147" t="s">
        <v>195</v>
      </c>
      <c r="AA46" s="147">
        <v>6012220601</v>
      </c>
      <c r="AB46" s="160" t="s">
        <v>196</v>
      </c>
      <c r="AC46" s="28"/>
      <c r="AD46" s="28"/>
      <c r="AE46" s="28"/>
      <c r="AF46" s="28"/>
      <c r="AG46" s="28">
        <v>10000000</v>
      </c>
      <c r="AH46" s="28"/>
      <c r="AI46" s="28"/>
      <c r="AJ46" s="28"/>
      <c r="AK46" s="28"/>
      <c r="AL46" s="28">
        <v>3285450</v>
      </c>
      <c r="AM46" s="28"/>
      <c r="AN46" s="28">
        <v>3285450</v>
      </c>
      <c r="AO46" s="28"/>
      <c r="AP46" s="28"/>
      <c r="AQ46" s="28"/>
      <c r="AR46" s="28">
        <v>3285450</v>
      </c>
      <c r="AS46" s="28"/>
      <c r="AT46" s="28">
        <v>143650</v>
      </c>
      <c r="AU46" s="25"/>
      <c r="AV46" s="25"/>
      <c r="AW46" s="25"/>
      <c r="AX46" s="25"/>
      <c r="AY46" s="25"/>
      <c r="AZ46" s="25"/>
      <c r="BA46" s="17"/>
      <c r="BB46" s="17"/>
      <c r="BC46" s="18">
        <f t="shared" ref="BC46:BD46" si="40">AC46+AE46+AG46+AI46+AK46+AM46+AO46+AQ46+AS46+AU46+AW46+AY46+BA46</f>
        <v>10000000</v>
      </c>
      <c r="BD46" s="18">
        <f t="shared" si="40"/>
        <v>10000000</v>
      </c>
      <c r="BE46" s="19">
        <f t="shared" si="1"/>
        <v>0</v>
      </c>
      <c r="BF46" s="20">
        <f t="shared" si="2"/>
        <v>0</v>
      </c>
      <c r="BG46" s="20">
        <f t="shared" si="3"/>
        <v>0</v>
      </c>
    </row>
    <row r="47" spans="1:59" ht="14.25" customHeight="1">
      <c r="A47" s="147" t="s">
        <v>59</v>
      </c>
      <c r="B47" s="147" t="s">
        <v>187</v>
      </c>
      <c r="C47" s="151" t="s">
        <v>61</v>
      </c>
      <c r="D47" s="151" t="s">
        <v>62</v>
      </c>
      <c r="E47" s="151">
        <v>13</v>
      </c>
      <c r="F47" s="149" t="s">
        <v>214</v>
      </c>
      <c r="G47" s="147" t="s">
        <v>189</v>
      </c>
      <c r="H47" s="147" t="s">
        <v>190</v>
      </c>
      <c r="I47" s="147" t="s">
        <v>202</v>
      </c>
      <c r="J47" s="164">
        <v>84111603</v>
      </c>
      <c r="K47" s="147" t="s">
        <v>192</v>
      </c>
      <c r="L47" s="147" t="s">
        <v>83</v>
      </c>
      <c r="M47" s="149" t="s">
        <v>215</v>
      </c>
      <c r="N47" s="147" t="s">
        <v>86</v>
      </c>
      <c r="O47" s="147" t="s">
        <v>86</v>
      </c>
      <c r="P47" s="147" t="s">
        <v>86</v>
      </c>
      <c r="Q47" s="147">
        <v>275</v>
      </c>
      <c r="R47" s="147" t="s">
        <v>213</v>
      </c>
      <c r="S47" s="147" t="s">
        <v>73</v>
      </c>
      <c r="T47" s="147" t="s">
        <v>74</v>
      </c>
      <c r="U47" s="167">
        <v>10000000</v>
      </c>
      <c r="V47" s="148">
        <v>10000000</v>
      </c>
      <c r="W47" s="147" t="s">
        <v>75</v>
      </c>
      <c r="X47" s="147" t="s">
        <v>67</v>
      </c>
      <c r="Y47" s="147" t="s">
        <v>194</v>
      </c>
      <c r="Z47" s="147" t="s">
        <v>195</v>
      </c>
      <c r="AA47" s="147">
        <v>6012220601</v>
      </c>
      <c r="AB47" s="160" t="s">
        <v>196</v>
      </c>
      <c r="AC47" s="28"/>
      <c r="AD47" s="28"/>
      <c r="AE47" s="28"/>
      <c r="AF47" s="28"/>
      <c r="AG47" s="28">
        <v>10000000</v>
      </c>
      <c r="AH47" s="28"/>
      <c r="AI47" s="28"/>
      <c r="AJ47" s="28"/>
      <c r="AK47" s="28"/>
      <c r="AL47" s="28"/>
      <c r="AM47" s="28"/>
      <c r="AN47" s="28"/>
      <c r="AO47" s="28"/>
      <c r="AP47" s="28">
        <v>3285450</v>
      </c>
      <c r="AQ47" s="28"/>
      <c r="AR47" s="28"/>
      <c r="AS47" s="28"/>
      <c r="AT47" s="28">
        <v>3141800</v>
      </c>
      <c r="AU47" s="25"/>
      <c r="AV47" s="28">
        <v>3285450</v>
      </c>
      <c r="AW47" s="25"/>
      <c r="AX47" s="28">
        <v>287300</v>
      </c>
      <c r="AY47" s="25"/>
      <c r="AZ47" s="25"/>
      <c r="BA47" s="17"/>
      <c r="BB47" s="17"/>
      <c r="BC47" s="18">
        <f t="shared" ref="BC47:BD47" si="41">AC47+AE47+AG47+AI47+AK47+AM47+AO47+AQ47+AS47+AU47+AW47+AY47+BA47</f>
        <v>10000000</v>
      </c>
      <c r="BD47" s="18">
        <f t="shared" si="41"/>
        <v>10000000</v>
      </c>
      <c r="BE47" s="19">
        <f t="shared" si="1"/>
        <v>0</v>
      </c>
      <c r="BF47" s="20">
        <f t="shared" si="2"/>
        <v>0</v>
      </c>
      <c r="BG47" s="20">
        <f t="shared" si="3"/>
        <v>0</v>
      </c>
    </row>
    <row r="48" spans="1:59" ht="14.25" customHeight="1">
      <c r="A48" s="147" t="s">
        <v>59</v>
      </c>
      <c r="B48" s="147" t="s">
        <v>187</v>
      </c>
      <c r="C48" s="151" t="s">
        <v>61</v>
      </c>
      <c r="D48" s="151" t="s">
        <v>62</v>
      </c>
      <c r="E48" s="151">
        <v>40</v>
      </c>
      <c r="F48" s="149" t="s">
        <v>216</v>
      </c>
      <c r="G48" s="147" t="s">
        <v>189</v>
      </c>
      <c r="H48" s="147" t="s">
        <v>190</v>
      </c>
      <c r="I48" s="147" t="s">
        <v>202</v>
      </c>
      <c r="J48" s="164">
        <v>84111603</v>
      </c>
      <c r="K48" s="147" t="s">
        <v>192</v>
      </c>
      <c r="L48" s="147" t="s">
        <v>83</v>
      </c>
      <c r="M48" s="149" t="s">
        <v>217</v>
      </c>
      <c r="N48" s="147" t="s">
        <v>71</v>
      </c>
      <c r="O48" s="147" t="s">
        <v>71</v>
      </c>
      <c r="P48" s="149" t="s">
        <v>180</v>
      </c>
      <c r="Q48" s="147">
        <v>3</v>
      </c>
      <c r="R48" s="147" t="s">
        <v>72</v>
      </c>
      <c r="S48" s="147" t="s">
        <v>73</v>
      </c>
      <c r="T48" s="147" t="s">
        <v>74</v>
      </c>
      <c r="U48" s="180">
        <v>15942694</v>
      </c>
      <c r="V48" s="180">
        <v>15942694</v>
      </c>
      <c r="W48" s="147" t="s">
        <v>75</v>
      </c>
      <c r="X48" s="147" t="s">
        <v>67</v>
      </c>
      <c r="Y48" s="147" t="s">
        <v>194</v>
      </c>
      <c r="Z48" s="147" t="s">
        <v>195</v>
      </c>
      <c r="AA48" s="147">
        <v>6012220601</v>
      </c>
      <c r="AB48" s="160" t="s">
        <v>196</v>
      </c>
      <c r="AC48" s="14"/>
      <c r="AD48" s="14"/>
      <c r="AE48" s="14"/>
      <c r="AF48" s="14"/>
      <c r="AG48" s="14"/>
      <c r="AH48" s="14"/>
      <c r="AI48" s="14"/>
      <c r="AJ48" s="14"/>
      <c r="AK48" s="14"/>
      <c r="AL48" s="14"/>
      <c r="AM48" s="14"/>
      <c r="AN48" s="14"/>
      <c r="AO48" s="14"/>
      <c r="AP48" s="14"/>
      <c r="AQ48" s="14"/>
      <c r="AR48" s="14"/>
      <c r="AS48" s="14"/>
      <c r="AT48" s="14"/>
      <c r="AU48" s="25">
        <v>15942694</v>
      </c>
      <c r="AV48" s="28"/>
      <c r="AW48" s="25"/>
      <c r="AX48" s="25"/>
      <c r="AY48" s="25"/>
      <c r="AZ48" s="25">
        <v>15942694</v>
      </c>
      <c r="BA48" s="17"/>
      <c r="BB48" s="17"/>
      <c r="BC48" s="18">
        <f t="shared" ref="BC48:BD48" si="42">AC48+AE48+AG48+AI48+AK48+AM48+AO48+AQ48+AS48+AU48+AW48+AY48+BA48</f>
        <v>15942694</v>
      </c>
      <c r="BD48" s="18">
        <f t="shared" si="42"/>
        <v>15942694</v>
      </c>
      <c r="BE48" s="19">
        <f t="shared" si="1"/>
        <v>0</v>
      </c>
      <c r="BF48" s="20">
        <f t="shared" si="2"/>
        <v>0</v>
      </c>
      <c r="BG48" s="20">
        <f t="shared" si="3"/>
        <v>0</v>
      </c>
    </row>
    <row r="49" spans="1:59" ht="14.25" customHeight="1">
      <c r="A49" s="147" t="s">
        <v>59</v>
      </c>
      <c r="B49" s="147" t="s">
        <v>187</v>
      </c>
      <c r="C49" s="151" t="s">
        <v>61</v>
      </c>
      <c r="D49" s="151" t="s">
        <v>62</v>
      </c>
      <c r="E49" s="151">
        <v>41</v>
      </c>
      <c r="F49" s="149" t="s">
        <v>218</v>
      </c>
      <c r="G49" s="147" t="s">
        <v>189</v>
      </c>
      <c r="H49" s="147" t="s">
        <v>190</v>
      </c>
      <c r="I49" s="147" t="s">
        <v>202</v>
      </c>
      <c r="J49" s="173">
        <v>80111620</v>
      </c>
      <c r="K49" s="147" t="s">
        <v>192</v>
      </c>
      <c r="L49" s="147" t="s">
        <v>83</v>
      </c>
      <c r="M49" s="149" t="s">
        <v>219</v>
      </c>
      <c r="N49" s="149" t="s">
        <v>71</v>
      </c>
      <c r="O49" s="149" t="s">
        <v>71</v>
      </c>
      <c r="P49" s="149" t="s">
        <v>71</v>
      </c>
      <c r="Q49" s="147">
        <v>105</v>
      </c>
      <c r="R49" s="147" t="s">
        <v>213</v>
      </c>
      <c r="S49" s="147" t="s">
        <v>73</v>
      </c>
      <c r="T49" s="147" t="s">
        <v>74</v>
      </c>
      <c r="U49" s="180">
        <v>28000000</v>
      </c>
      <c r="V49" s="180">
        <v>28000000</v>
      </c>
      <c r="W49" s="147" t="s">
        <v>75</v>
      </c>
      <c r="X49" s="147" t="s">
        <v>67</v>
      </c>
      <c r="Y49" s="147" t="s">
        <v>194</v>
      </c>
      <c r="Z49" s="147" t="s">
        <v>195</v>
      </c>
      <c r="AA49" s="147">
        <v>6012220601</v>
      </c>
      <c r="AB49" s="160" t="s">
        <v>196</v>
      </c>
      <c r="AC49" s="14"/>
      <c r="AD49" s="14"/>
      <c r="AE49" s="14"/>
      <c r="AF49" s="14"/>
      <c r="AG49" s="14"/>
      <c r="AH49" s="14"/>
      <c r="AI49" s="14"/>
      <c r="AJ49" s="14"/>
      <c r="AK49" s="14"/>
      <c r="AL49" s="14"/>
      <c r="AM49" s="14"/>
      <c r="AN49" s="14"/>
      <c r="AO49" s="14"/>
      <c r="AP49" s="14"/>
      <c r="AQ49" s="14"/>
      <c r="AR49" s="14"/>
      <c r="AS49" s="14">
        <v>28000000</v>
      </c>
      <c r="AT49" s="14"/>
      <c r="AU49" s="28"/>
      <c r="AV49" s="25">
        <v>4500000</v>
      </c>
      <c r="AW49" s="25"/>
      <c r="AX49" s="25">
        <v>9000000</v>
      </c>
      <c r="AY49" s="28"/>
      <c r="AZ49" s="28">
        <v>14500000</v>
      </c>
      <c r="BA49" s="17"/>
      <c r="BB49" s="17"/>
      <c r="BC49" s="18">
        <f t="shared" ref="BC49:BD49" si="43">AC49+AE49+AG49+AI49+AK49+AM49+AO49+AQ49+AS49+AU49+AW49+AY49+BA49</f>
        <v>28000000</v>
      </c>
      <c r="BD49" s="18">
        <f t="shared" si="43"/>
        <v>28000000</v>
      </c>
      <c r="BE49" s="19">
        <f t="shared" si="1"/>
        <v>0</v>
      </c>
      <c r="BF49" s="20">
        <f t="shared" si="2"/>
        <v>0</v>
      </c>
      <c r="BG49" s="20">
        <f t="shared" si="3"/>
        <v>0</v>
      </c>
    </row>
    <row r="50" spans="1:59" ht="14.25" customHeight="1">
      <c r="A50" s="149" t="s">
        <v>59</v>
      </c>
      <c r="B50" s="149" t="s">
        <v>187</v>
      </c>
      <c r="C50" s="151" t="s">
        <v>61</v>
      </c>
      <c r="D50" s="151" t="s">
        <v>62</v>
      </c>
      <c r="E50" s="151">
        <v>41</v>
      </c>
      <c r="F50" s="149" t="s">
        <v>220</v>
      </c>
      <c r="G50" s="149" t="s">
        <v>189</v>
      </c>
      <c r="H50" s="149" t="s">
        <v>190</v>
      </c>
      <c r="I50" s="149" t="s">
        <v>202</v>
      </c>
      <c r="J50" s="173">
        <v>80111620</v>
      </c>
      <c r="K50" s="149" t="s">
        <v>192</v>
      </c>
      <c r="L50" s="147" t="s">
        <v>83</v>
      </c>
      <c r="M50" s="149" t="s">
        <v>221</v>
      </c>
      <c r="N50" s="149" t="s">
        <v>71</v>
      </c>
      <c r="O50" s="149" t="s">
        <v>71</v>
      </c>
      <c r="P50" s="149" t="s">
        <v>71</v>
      </c>
      <c r="Q50" s="149">
        <v>105</v>
      </c>
      <c r="R50" s="149" t="s">
        <v>213</v>
      </c>
      <c r="S50" s="147" t="s">
        <v>222</v>
      </c>
      <c r="T50" s="149" t="s">
        <v>74</v>
      </c>
      <c r="U50" s="174">
        <v>18525636</v>
      </c>
      <c r="V50" s="174">
        <v>18525636</v>
      </c>
      <c r="W50" s="149" t="s">
        <v>75</v>
      </c>
      <c r="X50" s="149" t="s">
        <v>67</v>
      </c>
      <c r="Y50" s="149" t="s">
        <v>194</v>
      </c>
      <c r="Z50" s="149" t="s">
        <v>195</v>
      </c>
      <c r="AA50" s="149">
        <v>6012220601</v>
      </c>
      <c r="AB50" s="172" t="s">
        <v>196</v>
      </c>
      <c r="AC50" s="37"/>
      <c r="AD50" s="37"/>
      <c r="AE50" s="37"/>
      <c r="AF50" s="37"/>
      <c r="AG50" s="37"/>
      <c r="AH50" s="37"/>
      <c r="AI50" s="37"/>
      <c r="AJ50" s="37"/>
      <c r="AK50" s="37"/>
      <c r="AL50" s="37"/>
      <c r="AM50" s="37"/>
      <c r="AN50" s="37"/>
      <c r="AO50" s="37"/>
      <c r="AP50" s="37"/>
      <c r="AQ50" s="37"/>
      <c r="AR50" s="37"/>
      <c r="AS50" s="37">
        <v>18525636</v>
      </c>
      <c r="AT50" s="37"/>
      <c r="AU50" s="36"/>
      <c r="AV50" s="38">
        <v>4000000</v>
      </c>
      <c r="AW50" s="38"/>
      <c r="AX50" s="38">
        <v>8000000</v>
      </c>
      <c r="AY50" s="38"/>
      <c r="AZ50" s="36">
        <v>6525636</v>
      </c>
      <c r="BA50" s="17"/>
      <c r="BB50" s="17"/>
      <c r="BC50" s="18">
        <f t="shared" ref="BC50:BD50" si="44">AC50+AE50+AG50+AI50+AK50+AM50+AO50+AQ50+AS50+AU50+AW50+AY50+BA50</f>
        <v>18525636</v>
      </c>
      <c r="BD50" s="18">
        <f t="shared" si="44"/>
        <v>18525636</v>
      </c>
      <c r="BE50" s="19">
        <f t="shared" si="1"/>
        <v>0</v>
      </c>
      <c r="BF50" s="20">
        <f t="shared" si="2"/>
        <v>0</v>
      </c>
      <c r="BG50" s="20">
        <f t="shared" si="3"/>
        <v>0</v>
      </c>
    </row>
    <row r="51" spans="1:59" ht="14.25" customHeight="1">
      <c r="A51" s="149" t="s">
        <v>59</v>
      </c>
      <c r="B51" s="149" t="s">
        <v>187</v>
      </c>
      <c r="C51" s="151" t="s">
        <v>61</v>
      </c>
      <c r="D51" s="151" t="s">
        <v>62</v>
      </c>
      <c r="E51" s="151">
        <v>41</v>
      </c>
      <c r="F51" s="149" t="s">
        <v>223</v>
      </c>
      <c r="G51" s="149" t="s">
        <v>189</v>
      </c>
      <c r="H51" s="149" t="s">
        <v>190</v>
      </c>
      <c r="I51" s="149" t="s">
        <v>202</v>
      </c>
      <c r="J51" s="173">
        <v>43233701</v>
      </c>
      <c r="K51" s="149" t="s">
        <v>192</v>
      </c>
      <c r="L51" s="149" t="s">
        <v>224</v>
      </c>
      <c r="M51" s="149" t="s">
        <v>225</v>
      </c>
      <c r="N51" s="149" t="s">
        <v>180</v>
      </c>
      <c r="O51" s="149" t="s">
        <v>180</v>
      </c>
      <c r="P51" s="149" t="s">
        <v>226</v>
      </c>
      <c r="Q51" s="149">
        <v>12</v>
      </c>
      <c r="R51" s="149" t="s">
        <v>72</v>
      </c>
      <c r="S51" s="147" t="s">
        <v>227</v>
      </c>
      <c r="T51" s="149" t="s">
        <v>74</v>
      </c>
      <c r="U51" s="174">
        <v>13142286</v>
      </c>
      <c r="V51" s="174">
        <v>13142286</v>
      </c>
      <c r="W51" s="149" t="s">
        <v>75</v>
      </c>
      <c r="X51" s="149" t="s">
        <v>67</v>
      </c>
      <c r="Y51" s="149" t="s">
        <v>194</v>
      </c>
      <c r="Z51" s="149" t="s">
        <v>195</v>
      </c>
      <c r="AA51" s="149">
        <v>6012220601</v>
      </c>
      <c r="AB51" s="172" t="s">
        <v>196</v>
      </c>
      <c r="AC51" s="28"/>
      <c r="AD51" s="28"/>
      <c r="AE51" s="28"/>
      <c r="AF51" s="28"/>
      <c r="AG51" s="28"/>
      <c r="AH51" s="28"/>
      <c r="AI51" s="28"/>
      <c r="AJ51" s="28"/>
      <c r="AK51" s="28"/>
      <c r="AL51" s="28"/>
      <c r="AM51" s="28"/>
      <c r="AN51" s="28"/>
      <c r="AO51" s="28"/>
      <c r="AP51" s="28"/>
      <c r="AQ51" s="28"/>
      <c r="AR51" s="28"/>
      <c r="AS51" s="28"/>
      <c r="AT51" s="28"/>
      <c r="AU51" s="21"/>
      <c r="AV51" s="21"/>
      <c r="AW51" s="27">
        <v>13142286</v>
      </c>
      <c r="AX51" s="27"/>
      <c r="AY51" s="27"/>
      <c r="AZ51" s="21">
        <v>13142286</v>
      </c>
      <c r="BA51" s="17"/>
      <c r="BB51" s="17"/>
      <c r="BC51" s="18">
        <f t="shared" ref="BC51:BD51" si="45">AC51+AE51+AG51+AI51+AK51+AM51+AO51+AQ51+AS51+AU51+AW51+AY51+BA51</f>
        <v>13142286</v>
      </c>
      <c r="BD51" s="18">
        <f t="shared" si="45"/>
        <v>13142286</v>
      </c>
      <c r="BE51" s="19">
        <f t="shared" si="1"/>
        <v>0</v>
      </c>
      <c r="BF51" s="20">
        <f t="shared" si="2"/>
        <v>0</v>
      </c>
      <c r="BG51" s="20">
        <f t="shared" si="3"/>
        <v>0</v>
      </c>
    </row>
    <row r="52" spans="1:59" ht="14.25" customHeight="1">
      <c r="A52" s="147" t="s">
        <v>59</v>
      </c>
      <c r="B52" s="147" t="s">
        <v>187</v>
      </c>
      <c r="C52" s="151" t="s">
        <v>61</v>
      </c>
      <c r="D52" s="151" t="s">
        <v>62</v>
      </c>
      <c r="E52" s="151">
        <v>40</v>
      </c>
      <c r="F52" s="149" t="s">
        <v>228</v>
      </c>
      <c r="G52" s="147" t="s">
        <v>189</v>
      </c>
      <c r="H52" s="147" t="s">
        <v>229</v>
      </c>
      <c r="I52" s="147" t="s">
        <v>230</v>
      </c>
      <c r="J52" s="164">
        <v>80111620</v>
      </c>
      <c r="K52" s="147" t="s">
        <v>231</v>
      </c>
      <c r="L52" s="147" t="s">
        <v>83</v>
      </c>
      <c r="M52" s="149" t="s">
        <v>232</v>
      </c>
      <c r="N52" s="179" t="s">
        <v>91</v>
      </c>
      <c r="O52" s="179" t="s">
        <v>91</v>
      </c>
      <c r="P52" s="179" t="s">
        <v>91</v>
      </c>
      <c r="Q52" s="147">
        <v>11.5</v>
      </c>
      <c r="R52" s="147" t="s">
        <v>72</v>
      </c>
      <c r="S52" s="147" t="s">
        <v>73</v>
      </c>
      <c r="T52" s="147" t="s">
        <v>74</v>
      </c>
      <c r="U52" s="177">
        <v>117000000</v>
      </c>
      <c r="V52" s="177">
        <v>117000000</v>
      </c>
      <c r="W52" s="147" t="s">
        <v>75</v>
      </c>
      <c r="X52" s="147" t="s">
        <v>67</v>
      </c>
      <c r="Y52" s="147" t="s">
        <v>194</v>
      </c>
      <c r="Z52" s="147" t="s">
        <v>195</v>
      </c>
      <c r="AA52" s="147">
        <v>6012220601</v>
      </c>
      <c r="AB52" s="160" t="s">
        <v>196</v>
      </c>
      <c r="AC52" s="28">
        <v>115000000</v>
      </c>
      <c r="AD52" s="28"/>
      <c r="AE52" s="28"/>
      <c r="AF52" s="28">
        <v>7000000</v>
      </c>
      <c r="AG52" s="28"/>
      <c r="AH52" s="28">
        <v>10000000</v>
      </c>
      <c r="AI52" s="28"/>
      <c r="AJ52" s="28">
        <v>10000000</v>
      </c>
      <c r="AK52" s="28"/>
      <c r="AL52" s="28">
        <v>10000000</v>
      </c>
      <c r="AM52" s="28"/>
      <c r="AN52" s="28">
        <v>10000000</v>
      </c>
      <c r="AO52" s="28"/>
      <c r="AP52" s="28">
        <v>10000000</v>
      </c>
      <c r="AQ52" s="28"/>
      <c r="AR52" s="28">
        <v>10000000</v>
      </c>
      <c r="AS52" s="28"/>
      <c r="AT52" s="28">
        <v>10000000</v>
      </c>
      <c r="AU52" s="25"/>
      <c r="AV52" s="25">
        <v>10000000</v>
      </c>
      <c r="AW52" s="25"/>
      <c r="AX52" s="25">
        <v>10000000</v>
      </c>
      <c r="AY52" s="25">
        <v>2000000</v>
      </c>
      <c r="AZ52" s="28">
        <v>20000000</v>
      </c>
      <c r="BA52" s="17"/>
      <c r="BB52" s="17"/>
      <c r="BC52" s="18">
        <f t="shared" ref="BC52:BD52" si="46">AC52+AE52+AG52+AI52+AK52+AM52+AO52+AQ52+AS52+AU52+AW52+AY52+BA52</f>
        <v>117000000</v>
      </c>
      <c r="BD52" s="18">
        <f t="shared" si="46"/>
        <v>117000000</v>
      </c>
      <c r="BE52" s="19">
        <f t="shared" si="1"/>
        <v>0</v>
      </c>
      <c r="BF52" s="20">
        <f t="shared" si="2"/>
        <v>0</v>
      </c>
      <c r="BG52" s="20">
        <f t="shared" si="3"/>
        <v>0</v>
      </c>
    </row>
    <row r="53" spans="1:59" ht="14.25" customHeight="1">
      <c r="A53" s="149" t="s">
        <v>59</v>
      </c>
      <c r="B53" s="149" t="s">
        <v>187</v>
      </c>
      <c r="C53" s="151" t="s">
        <v>61</v>
      </c>
      <c r="D53" s="151" t="s">
        <v>62</v>
      </c>
      <c r="E53" s="151">
        <v>40</v>
      </c>
      <c r="F53" s="149" t="s">
        <v>233</v>
      </c>
      <c r="G53" s="149" t="s">
        <v>189</v>
      </c>
      <c r="H53" s="149" t="s">
        <v>229</v>
      </c>
      <c r="I53" s="149" t="s">
        <v>230</v>
      </c>
      <c r="J53" s="173">
        <v>43233701</v>
      </c>
      <c r="K53" s="149" t="s">
        <v>231</v>
      </c>
      <c r="L53" s="149" t="s">
        <v>224</v>
      </c>
      <c r="M53" s="149" t="s">
        <v>234</v>
      </c>
      <c r="N53" s="149" t="s">
        <v>180</v>
      </c>
      <c r="O53" s="149" t="s">
        <v>180</v>
      </c>
      <c r="P53" s="149" t="s">
        <v>226</v>
      </c>
      <c r="Q53" s="149">
        <v>12</v>
      </c>
      <c r="R53" s="149" t="s">
        <v>72</v>
      </c>
      <c r="S53" s="147" t="s">
        <v>227</v>
      </c>
      <c r="T53" s="149" t="s">
        <v>74</v>
      </c>
      <c r="U53" s="185">
        <v>109647575</v>
      </c>
      <c r="V53" s="185">
        <v>109647575</v>
      </c>
      <c r="W53" s="149" t="s">
        <v>75</v>
      </c>
      <c r="X53" s="149" t="s">
        <v>67</v>
      </c>
      <c r="Y53" s="149" t="s">
        <v>194</v>
      </c>
      <c r="Z53" s="149" t="s">
        <v>195</v>
      </c>
      <c r="AA53" s="149">
        <v>6012220601</v>
      </c>
      <c r="AB53" s="172" t="s">
        <v>196</v>
      </c>
      <c r="AC53" s="28"/>
      <c r="AD53" s="28"/>
      <c r="AE53" s="28"/>
      <c r="AF53" s="28"/>
      <c r="AG53" s="28"/>
      <c r="AH53" s="28"/>
      <c r="AI53" s="28"/>
      <c r="AJ53" s="28"/>
      <c r="AK53" s="28"/>
      <c r="AL53" s="28"/>
      <c r="AM53" s="28"/>
      <c r="AN53" s="28"/>
      <c r="AO53" s="28"/>
      <c r="AP53" s="28"/>
      <c r="AQ53" s="28"/>
      <c r="AR53" s="28"/>
      <c r="AS53" s="28"/>
      <c r="AT53" s="28"/>
      <c r="AU53" s="27"/>
      <c r="AV53" s="21"/>
      <c r="AW53" s="27">
        <v>109647575</v>
      </c>
      <c r="AX53" s="27">
        <v>104789861</v>
      </c>
      <c r="AY53" s="27"/>
      <c r="AZ53" s="27">
        <v>4857714</v>
      </c>
      <c r="BA53" s="17"/>
      <c r="BB53" s="17"/>
      <c r="BC53" s="18">
        <f t="shared" ref="BC53:BD53" si="47">AC53+AE53+AG53+AI53+AK53+AM53+AO53+AQ53+AS53+AU53+AW53+AY53+BA53</f>
        <v>109647575</v>
      </c>
      <c r="BD53" s="18">
        <f t="shared" si="47"/>
        <v>109647575</v>
      </c>
      <c r="BE53" s="19">
        <f t="shared" si="1"/>
        <v>0</v>
      </c>
      <c r="BF53" s="20">
        <f t="shared" si="2"/>
        <v>0</v>
      </c>
      <c r="BG53" s="20">
        <f t="shared" si="3"/>
        <v>0</v>
      </c>
    </row>
    <row r="54" spans="1:59" ht="14.25" customHeight="1">
      <c r="A54" s="147" t="s">
        <v>59</v>
      </c>
      <c r="B54" s="147" t="s">
        <v>187</v>
      </c>
      <c r="C54" s="151" t="s">
        <v>61</v>
      </c>
      <c r="D54" s="151" t="s">
        <v>62</v>
      </c>
      <c r="E54" s="151">
        <v>41</v>
      </c>
      <c r="F54" s="149" t="s">
        <v>235</v>
      </c>
      <c r="G54" s="147" t="s">
        <v>189</v>
      </c>
      <c r="H54" s="147" t="s">
        <v>229</v>
      </c>
      <c r="I54" s="147" t="s">
        <v>230</v>
      </c>
      <c r="J54" s="164">
        <v>84111600</v>
      </c>
      <c r="K54" s="147" t="s">
        <v>231</v>
      </c>
      <c r="L54" s="147" t="s">
        <v>83</v>
      </c>
      <c r="M54" s="186" t="s">
        <v>236</v>
      </c>
      <c r="N54" s="179" t="s">
        <v>142</v>
      </c>
      <c r="O54" s="179" t="s">
        <v>142</v>
      </c>
      <c r="P54" s="149" t="s">
        <v>226</v>
      </c>
      <c r="Q54" s="147">
        <v>3</v>
      </c>
      <c r="R54" s="147" t="s">
        <v>72</v>
      </c>
      <c r="S54" s="147" t="s">
        <v>73</v>
      </c>
      <c r="T54" s="147" t="s">
        <v>74</v>
      </c>
      <c r="U54" s="148">
        <v>27319153</v>
      </c>
      <c r="V54" s="148">
        <v>27319153</v>
      </c>
      <c r="W54" s="147" t="s">
        <v>75</v>
      </c>
      <c r="X54" s="147" t="s">
        <v>67</v>
      </c>
      <c r="Y54" s="147" t="s">
        <v>194</v>
      </c>
      <c r="Z54" s="147" t="s">
        <v>195</v>
      </c>
      <c r="AA54" s="147">
        <v>6012220601</v>
      </c>
      <c r="AB54" s="160" t="s">
        <v>196</v>
      </c>
      <c r="AC54" s="14"/>
      <c r="AD54" s="14"/>
      <c r="AE54" s="14"/>
      <c r="AF54" s="14"/>
      <c r="AG54" s="14"/>
      <c r="AH54" s="14"/>
      <c r="AI54" s="14"/>
      <c r="AJ54" s="14"/>
      <c r="AK54" s="14"/>
      <c r="AL54" s="14"/>
      <c r="AM54" s="14"/>
      <c r="AN54" s="14"/>
      <c r="AO54" s="14"/>
      <c r="AP54" s="14"/>
      <c r="AQ54" s="14"/>
      <c r="AR54" s="14"/>
      <c r="AS54" s="14"/>
      <c r="AT54" s="14"/>
      <c r="AU54" s="27"/>
      <c r="AV54" s="28"/>
      <c r="AW54" s="25">
        <v>27319153</v>
      </c>
      <c r="AX54" s="21"/>
      <c r="AY54" s="27"/>
      <c r="AZ54" s="21">
        <v>27319153</v>
      </c>
      <c r="BA54" s="17"/>
      <c r="BB54" s="17"/>
      <c r="BC54" s="18">
        <f t="shared" ref="BC54:BD54" si="48">AC54+AE54+AG54+AI54+AK54+AM54+AO54+AQ54+AS54+AU54+AW54+AY54+BA54</f>
        <v>27319153</v>
      </c>
      <c r="BD54" s="18">
        <f t="shared" si="48"/>
        <v>27319153</v>
      </c>
      <c r="BE54" s="19">
        <f t="shared" si="1"/>
        <v>0</v>
      </c>
      <c r="BF54" s="20">
        <f t="shared" si="2"/>
        <v>0</v>
      </c>
      <c r="BG54" s="20">
        <f t="shared" si="3"/>
        <v>0</v>
      </c>
    </row>
    <row r="55" spans="1:59" ht="14.25" customHeight="1">
      <c r="A55" s="149" t="s">
        <v>59</v>
      </c>
      <c r="B55" s="149" t="s">
        <v>187</v>
      </c>
      <c r="C55" s="151" t="s">
        <v>61</v>
      </c>
      <c r="D55" s="151" t="s">
        <v>62</v>
      </c>
      <c r="E55" s="151">
        <v>15</v>
      </c>
      <c r="F55" s="149" t="s">
        <v>237</v>
      </c>
      <c r="G55" s="149" t="s">
        <v>189</v>
      </c>
      <c r="H55" s="149" t="s">
        <v>229</v>
      </c>
      <c r="I55" s="149" t="s">
        <v>238</v>
      </c>
      <c r="J55" s="173">
        <v>80111620</v>
      </c>
      <c r="K55" s="149" t="s">
        <v>231</v>
      </c>
      <c r="L55" s="149" t="s">
        <v>83</v>
      </c>
      <c r="M55" s="149" t="s">
        <v>239</v>
      </c>
      <c r="N55" s="187" t="s">
        <v>91</v>
      </c>
      <c r="O55" s="187" t="s">
        <v>91</v>
      </c>
      <c r="P55" s="187" t="s">
        <v>85</v>
      </c>
      <c r="Q55" s="149">
        <v>11</v>
      </c>
      <c r="R55" s="149" t="s">
        <v>72</v>
      </c>
      <c r="S55" s="149" t="s">
        <v>73</v>
      </c>
      <c r="T55" s="149" t="s">
        <v>74</v>
      </c>
      <c r="U55" s="175">
        <v>58116667</v>
      </c>
      <c r="V55" s="175">
        <v>58116667</v>
      </c>
      <c r="W55" s="149" t="s">
        <v>75</v>
      </c>
      <c r="X55" s="149" t="s">
        <v>67</v>
      </c>
      <c r="Y55" s="149" t="s">
        <v>194</v>
      </c>
      <c r="Z55" s="149" t="s">
        <v>195</v>
      </c>
      <c r="AA55" s="149">
        <v>6012220601</v>
      </c>
      <c r="AB55" s="172" t="s">
        <v>196</v>
      </c>
      <c r="AC55" s="37"/>
      <c r="AD55" s="37"/>
      <c r="AE55" s="37">
        <v>58300000</v>
      </c>
      <c r="AF55" s="37"/>
      <c r="AG55" s="37">
        <v>-183333</v>
      </c>
      <c r="AH55" s="37">
        <v>3116667</v>
      </c>
      <c r="AI55" s="37"/>
      <c r="AJ55" s="37">
        <v>5500000</v>
      </c>
      <c r="AK55" s="37"/>
      <c r="AL55" s="37">
        <v>5500000</v>
      </c>
      <c r="AM55" s="37"/>
      <c r="AN55" s="37">
        <v>5500000</v>
      </c>
      <c r="AO55" s="37"/>
      <c r="AP55" s="37">
        <v>5500000</v>
      </c>
      <c r="AQ55" s="37"/>
      <c r="AR55" s="37">
        <v>5500000</v>
      </c>
      <c r="AS55" s="37"/>
      <c r="AT55" s="37">
        <v>5500000</v>
      </c>
      <c r="AU55" s="40"/>
      <c r="AV55" s="40">
        <v>5500000</v>
      </c>
      <c r="AW55" s="40"/>
      <c r="AX55" s="40">
        <v>5500000</v>
      </c>
      <c r="AY55" s="40"/>
      <c r="AZ55" s="40">
        <v>11000000</v>
      </c>
      <c r="BA55" s="17"/>
      <c r="BB55" s="17"/>
      <c r="BC55" s="18">
        <f t="shared" ref="BC55:BD55" si="49">AC55+AE55+AG55+AI55+AK55+AM55+AO55+AQ55+AS55+AU55+AW55+AY55+BA55</f>
        <v>58116667</v>
      </c>
      <c r="BD55" s="18">
        <f t="shared" si="49"/>
        <v>58116667</v>
      </c>
      <c r="BE55" s="19">
        <f t="shared" si="1"/>
        <v>0</v>
      </c>
      <c r="BF55" s="20">
        <f t="shared" si="2"/>
        <v>0</v>
      </c>
      <c r="BG55" s="20">
        <f t="shared" si="3"/>
        <v>0</v>
      </c>
    </row>
    <row r="56" spans="1:59" ht="14.25" customHeight="1">
      <c r="A56" s="147" t="s">
        <v>59</v>
      </c>
      <c r="B56" s="147" t="s">
        <v>187</v>
      </c>
      <c r="C56" s="151" t="s">
        <v>61</v>
      </c>
      <c r="D56" s="151" t="s">
        <v>62</v>
      </c>
      <c r="E56" s="151">
        <v>40</v>
      </c>
      <c r="F56" s="149" t="s">
        <v>240</v>
      </c>
      <c r="G56" s="147" t="s">
        <v>189</v>
      </c>
      <c r="H56" s="147" t="s">
        <v>229</v>
      </c>
      <c r="I56" s="147" t="s">
        <v>238</v>
      </c>
      <c r="J56" s="164">
        <v>80111620</v>
      </c>
      <c r="K56" s="147" t="s">
        <v>231</v>
      </c>
      <c r="L56" s="147" t="s">
        <v>83</v>
      </c>
      <c r="M56" s="149" t="s">
        <v>241</v>
      </c>
      <c r="N56" s="179" t="s">
        <v>91</v>
      </c>
      <c r="O56" s="179" t="s">
        <v>91</v>
      </c>
      <c r="P56" s="149" t="s">
        <v>91</v>
      </c>
      <c r="Q56" s="147">
        <v>11</v>
      </c>
      <c r="R56" s="147" t="s">
        <v>72</v>
      </c>
      <c r="S56" s="147" t="s">
        <v>73</v>
      </c>
      <c r="T56" s="147" t="s">
        <v>74</v>
      </c>
      <c r="U56" s="177">
        <v>99547575</v>
      </c>
      <c r="V56" s="177">
        <v>99547575</v>
      </c>
      <c r="W56" s="147" t="s">
        <v>75</v>
      </c>
      <c r="X56" s="147" t="s">
        <v>67</v>
      </c>
      <c r="Y56" s="147" t="s">
        <v>194</v>
      </c>
      <c r="Z56" s="147" t="s">
        <v>195</v>
      </c>
      <c r="AA56" s="147">
        <v>6012220601</v>
      </c>
      <c r="AB56" s="160" t="s">
        <v>196</v>
      </c>
      <c r="AC56" s="14">
        <v>99000000</v>
      </c>
      <c r="AD56" s="14"/>
      <c r="AE56" s="14"/>
      <c r="AF56" s="14">
        <v>900000</v>
      </c>
      <c r="AG56" s="14"/>
      <c r="AH56" s="14">
        <v>9000000</v>
      </c>
      <c r="AI56" s="14"/>
      <c r="AJ56" s="14">
        <v>9000000</v>
      </c>
      <c r="AK56" s="14"/>
      <c r="AL56" s="14">
        <v>9000000</v>
      </c>
      <c r="AM56" s="14"/>
      <c r="AN56" s="14">
        <v>9000000</v>
      </c>
      <c r="AO56" s="14"/>
      <c r="AP56" s="14">
        <v>9000000</v>
      </c>
      <c r="AQ56" s="14"/>
      <c r="AR56" s="14">
        <v>9000000</v>
      </c>
      <c r="AS56" s="14"/>
      <c r="AT56" s="14">
        <v>9000000</v>
      </c>
      <c r="AU56" s="25"/>
      <c r="AV56" s="25">
        <v>9000000</v>
      </c>
      <c r="AW56" s="25"/>
      <c r="AX56" s="25">
        <v>9000000</v>
      </c>
      <c r="AY56" s="25">
        <v>547575</v>
      </c>
      <c r="AZ56" s="28">
        <v>17647575</v>
      </c>
      <c r="BA56" s="17"/>
      <c r="BB56" s="17"/>
      <c r="BC56" s="18">
        <f t="shared" ref="BC56:BD56" si="50">AC56+AE56+AG56+AI56+AK56+AM56+AO56+AQ56+AS56+AU56+AW56+AY56+BA56</f>
        <v>99547575</v>
      </c>
      <c r="BD56" s="18">
        <f t="shared" si="50"/>
        <v>99547575</v>
      </c>
      <c r="BE56" s="19">
        <f t="shared" si="1"/>
        <v>0</v>
      </c>
      <c r="BF56" s="20">
        <f t="shared" si="2"/>
        <v>0</v>
      </c>
      <c r="BG56" s="20">
        <f t="shared" si="3"/>
        <v>0</v>
      </c>
    </row>
    <row r="57" spans="1:59" ht="14.25" customHeight="1">
      <c r="A57" s="147" t="s">
        <v>59</v>
      </c>
      <c r="B57" s="147" t="s">
        <v>187</v>
      </c>
      <c r="C57" s="151" t="s">
        <v>61</v>
      </c>
      <c r="D57" s="151" t="s">
        <v>62</v>
      </c>
      <c r="E57" s="151">
        <v>4</v>
      </c>
      <c r="F57" s="149" t="s">
        <v>242</v>
      </c>
      <c r="G57" s="147" t="s">
        <v>189</v>
      </c>
      <c r="H57" s="147" t="s">
        <v>229</v>
      </c>
      <c r="I57" s="147" t="s">
        <v>238</v>
      </c>
      <c r="J57" s="164">
        <v>80111620</v>
      </c>
      <c r="K57" s="147" t="s">
        <v>231</v>
      </c>
      <c r="L57" s="147" t="s">
        <v>83</v>
      </c>
      <c r="M57" s="149" t="s">
        <v>243</v>
      </c>
      <c r="N57" s="147" t="s">
        <v>91</v>
      </c>
      <c r="O57" s="147" t="s">
        <v>91</v>
      </c>
      <c r="P57" s="149" t="s">
        <v>85</v>
      </c>
      <c r="Q57" s="149">
        <v>7</v>
      </c>
      <c r="R57" s="147" t="s">
        <v>72</v>
      </c>
      <c r="S57" s="147" t="s">
        <v>73</v>
      </c>
      <c r="T57" s="147" t="s">
        <v>74</v>
      </c>
      <c r="U57" s="148">
        <v>30664509</v>
      </c>
      <c r="V57" s="148">
        <v>30664509</v>
      </c>
      <c r="W57" s="147" t="s">
        <v>75</v>
      </c>
      <c r="X57" s="147" t="s">
        <v>67</v>
      </c>
      <c r="Y57" s="147" t="s">
        <v>194</v>
      </c>
      <c r="Z57" s="147" t="s">
        <v>195</v>
      </c>
      <c r="AA57" s="147">
        <v>6012220601</v>
      </c>
      <c r="AB57" s="160" t="s">
        <v>196</v>
      </c>
      <c r="AC57" s="14"/>
      <c r="AD57" s="14"/>
      <c r="AE57" s="14">
        <v>15145959</v>
      </c>
      <c r="AF57" s="14"/>
      <c r="AG57" s="14"/>
      <c r="AH57" s="14"/>
      <c r="AI57" s="14"/>
      <c r="AJ57" s="14"/>
      <c r="AK57" s="14"/>
      <c r="AL57" s="14"/>
      <c r="AM57" s="14"/>
      <c r="AN57" s="14">
        <v>678167</v>
      </c>
      <c r="AO57" s="14"/>
      <c r="AP57" s="14">
        <v>8000000</v>
      </c>
      <c r="AQ57" s="14"/>
      <c r="AR57" s="14">
        <v>5134459</v>
      </c>
      <c r="AS57" s="14">
        <v>15516667</v>
      </c>
      <c r="AT57" s="14">
        <v>1333333</v>
      </c>
      <c r="AU57" s="41"/>
      <c r="AV57" s="15">
        <f>8000000-AV42</f>
        <v>6666667</v>
      </c>
      <c r="AW57" s="41"/>
      <c r="AX57" s="15"/>
      <c r="AY57" s="41"/>
      <c r="AZ57" s="15">
        <f>8851883-1883</f>
        <v>8850000</v>
      </c>
      <c r="BA57" s="33">
        <v>1883</v>
      </c>
      <c r="BB57" s="33">
        <v>1883</v>
      </c>
      <c r="BC57" s="18">
        <f t="shared" ref="BC57:BD57" si="51">AC57+AE57+AG57+AI57+AK57+AM57+AO57+AQ57+AS57+AU57+AW57+AY57+BA57</f>
        <v>30664509</v>
      </c>
      <c r="BD57" s="18">
        <f t="shared" si="51"/>
        <v>30664509</v>
      </c>
      <c r="BE57" s="19">
        <f t="shared" si="1"/>
        <v>0</v>
      </c>
      <c r="BF57" s="20">
        <f t="shared" si="2"/>
        <v>0</v>
      </c>
      <c r="BG57" s="20">
        <f t="shared" si="3"/>
        <v>0</v>
      </c>
    </row>
    <row r="58" spans="1:59" ht="14.25" customHeight="1">
      <c r="A58" s="147" t="s">
        <v>59</v>
      </c>
      <c r="B58" s="147" t="s">
        <v>187</v>
      </c>
      <c r="C58" s="151" t="s">
        <v>61</v>
      </c>
      <c r="D58" s="151" t="s">
        <v>62</v>
      </c>
      <c r="E58" s="151">
        <v>12</v>
      </c>
      <c r="F58" s="149" t="s">
        <v>244</v>
      </c>
      <c r="G58" s="147" t="s">
        <v>64</v>
      </c>
      <c r="H58" s="147" t="s">
        <v>245</v>
      </c>
      <c r="I58" s="147" t="s">
        <v>246</v>
      </c>
      <c r="J58" s="164" t="s">
        <v>247</v>
      </c>
      <c r="K58" s="147" t="s">
        <v>68</v>
      </c>
      <c r="L58" s="147" t="s">
        <v>248</v>
      </c>
      <c r="M58" s="149" t="s">
        <v>249</v>
      </c>
      <c r="N58" s="147" t="s">
        <v>86</v>
      </c>
      <c r="O58" s="147" t="s">
        <v>86</v>
      </c>
      <c r="P58" s="147" t="s">
        <v>99</v>
      </c>
      <c r="Q58" s="147">
        <v>7.5</v>
      </c>
      <c r="R58" s="147" t="s">
        <v>72</v>
      </c>
      <c r="S58" s="147" t="s">
        <v>73</v>
      </c>
      <c r="T58" s="147" t="s">
        <v>74</v>
      </c>
      <c r="U58" s="148">
        <v>192509986</v>
      </c>
      <c r="V58" s="148">
        <v>192509986</v>
      </c>
      <c r="W58" s="147" t="s">
        <v>75</v>
      </c>
      <c r="X58" s="147" t="s">
        <v>67</v>
      </c>
      <c r="Y58" s="147" t="s">
        <v>194</v>
      </c>
      <c r="Z58" s="147" t="s">
        <v>195</v>
      </c>
      <c r="AA58" s="147">
        <v>6012220601</v>
      </c>
      <c r="AB58" s="160" t="s">
        <v>196</v>
      </c>
      <c r="AC58" s="14"/>
      <c r="AD58" s="14"/>
      <c r="AE58" s="14"/>
      <c r="AF58" s="14"/>
      <c r="AG58" s="14"/>
      <c r="AH58" s="14"/>
      <c r="AI58" s="14">
        <v>192000000</v>
      </c>
      <c r="AJ58" s="14"/>
      <c r="AK58" s="14"/>
      <c r="AL58" s="14"/>
      <c r="AM58" s="14"/>
      <c r="AN58" s="14"/>
      <c r="AO58" s="14"/>
      <c r="AP58" s="14"/>
      <c r="AQ58" s="14"/>
      <c r="AR58" s="14">
        <v>48000000</v>
      </c>
      <c r="AS58" s="14"/>
      <c r="AT58" s="14"/>
      <c r="AU58" s="28"/>
      <c r="AV58" s="25">
        <v>48127497</v>
      </c>
      <c r="AW58" s="25"/>
      <c r="AX58" s="28">
        <v>48127497</v>
      </c>
      <c r="AY58" s="28"/>
      <c r="AZ58" s="28">
        <v>47745006</v>
      </c>
      <c r="BA58" s="33">
        <v>509986</v>
      </c>
      <c r="BB58" s="33">
        <v>509986</v>
      </c>
      <c r="BC58" s="18">
        <f t="shared" ref="BC58:BD58" si="52">AC58+AE58+AG58+AI58+AK58+AM58+AO58+AQ58+AS58+AU58+AW58+AY58+BA58</f>
        <v>192509986</v>
      </c>
      <c r="BD58" s="18">
        <f t="shared" si="52"/>
        <v>192509986</v>
      </c>
      <c r="BE58" s="19">
        <f t="shared" si="1"/>
        <v>0</v>
      </c>
      <c r="BF58" s="20">
        <f t="shared" si="2"/>
        <v>0</v>
      </c>
      <c r="BG58" s="20">
        <f t="shared" si="3"/>
        <v>0</v>
      </c>
    </row>
    <row r="59" spans="1:59" ht="14.25" customHeight="1">
      <c r="A59" s="147" t="s">
        <v>59</v>
      </c>
      <c r="B59" s="147" t="s">
        <v>187</v>
      </c>
      <c r="C59" s="151" t="s">
        <v>61</v>
      </c>
      <c r="D59" s="151" t="s">
        <v>62</v>
      </c>
      <c r="E59" s="151">
        <v>15</v>
      </c>
      <c r="F59" s="149" t="s">
        <v>250</v>
      </c>
      <c r="G59" s="147" t="s">
        <v>189</v>
      </c>
      <c r="H59" s="147" t="s">
        <v>229</v>
      </c>
      <c r="I59" s="147" t="s">
        <v>238</v>
      </c>
      <c r="J59" s="164">
        <v>80111620</v>
      </c>
      <c r="K59" s="147" t="s">
        <v>231</v>
      </c>
      <c r="L59" s="147" t="s">
        <v>83</v>
      </c>
      <c r="M59" s="149" t="s">
        <v>251</v>
      </c>
      <c r="N59" s="147" t="s">
        <v>91</v>
      </c>
      <c r="O59" s="147" t="s">
        <v>91</v>
      </c>
      <c r="P59" s="149" t="s">
        <v>85</v>
      </c>
      <c r="Q59" s="147">
        <v>11</v>
      </c>
      <c r="R59" s="147" t="s">
        <v>72</v>
      </c>
      <c r="S59" s="147" t="s">
        <v>252</v>
      </c>
      <c r="T59" s="147" t="s">
        <v>74</v>
      </c>
      <c r="U59" s="148">
        <v>1228760</v>
      </c>
      <c r="V59" s="148">
        <v>1228760</v>
      </c>
      <c r="W59" s="147" t="s">
        <v>75</v>
      </c>
      <c r="X59" s="147" t="s">
        <v>67</v>
      </c>
      <c r="Y59" s="147" t="s">
        <v>194</v>
      </c>
      <c r="Z59" s="147" t="s">
        <v>195</v>
      </c>
      <c r="AA59" s="147">
        <v>6012220601</v>
      </c>
      <c r="AB59" s="160" t="s">
        <v>196</v>
      </c>
      <c r="AC59" s="37"/>
      <c r="AD59" s="37"/>
      <c r="AE59" s="37">
        <v>1481740</v>
      </c>
      <c r="AF59" s="37"/>
      <c r="AG59" s="37">
        <v>-252980</v>
      </c>
      <c r="AH59" s="37">
        <v>1228760</v>
      </c>
      <c r="AI59" s="37"/>
      <c r="AJ59" s="37"/>
      <c r="AK59" s="37"/>
      <c r="AL59" s="37"/>
      <c r="AM59" s="37"/>
      <c r="AN59" s="37"/>
      <c r="AO59" s="37"/>
      <c r="AP59" s="37"/>
      <c r="AQ59" s="37"/>
      <c r="AR59" s="37"/>
      <c r="AS59" s="37"/>
      <c r="AT59" s="37"/>
      <c r="AU59" s="40"/>
      <c r="AV59" s="40"/>
      <c r="AW59" s="40"/>
      <c r="AX59" s="40"/>
      <c r="AY59" s="40"/>
      <c r="AZ59" s="40"/>
      <c r="BA59" s="17"/>
      <c r="BB59" s="17"/>
      <c r="BC59" s="18">
        <f t="shared" ref="BC59:BD59" si="53">AC59+AE59+AG59+AI59+AK59+AM59+AO59+AQ59+AS59+AU59+AW59+AY59+BA59</f>
        <v>1228760</v>
      </c>
      <c r="BD59" s="18">
        <f t="shared" si="53"/>
        <v>1228760</v>
      </c>
      <c r="BE59" s="19">
        <f t="shared" si="1"/>
        <v>0</v>
      </c>
      <c r="BF59" s="20">
        <f t="shared" si="2"/>
        <v>0</v>
      </c>
      <c r="BG59" s="20">
        <f t="shared" si="3"/>
        <v>0</v>
      </c>
    </row>
    <row r="60" spans="1:59" ht="14.25" customHeight="1">
      <c r="A60" s="147" t="s">
        <v>59</v>
      </c>
      <c r="B60" s="147" t="s">
        <v>187</v>
      </c>
      <c r="C60" s="151" t="s">
        <v>61</v>
      </c>
      <c r="D60" s="151" t="s">
        <v>62</v>
      </c>
      <c r="E60" s="151">
        <v>40</v>
      </c>
      <c r="F60" s="149" t="s">
        <v>253</v>
      </c>
      <c r="G60" s="147" t="s">
        <v>189</v>
      </c>
      <c r="H60" s="147" t="s">
        <v>229</v>
      </c>
      <c r="I60" s="147" t="s">
        <v>238</v>
      </c>
      <c r="J60" s="164">
        <v>80111620</v>
      </c>
      <c r="K60" s="147" t="s">
        <v>231</v>
      </c>
      <c r="L60" s="147" t="s">
        <v>83</v>
      </c>
      <c r="M60" s="149" t="s">
        <v>254</v>
      </c>
      <c r="N60" s="147" t="s">
        <v>86</v>
      </c>
      <c r="O60" s="147" t="s">
        <v>86</v>
      </c>
      <c r="P60" s="147" t="s">
        <v>86</v>
      </c>
      <c r="Q60" s="147">
        <v>275</v>
      </c>
      <c r="R60" s="147" t="s">
        <v>213</v>
      </c>
      <c r="S60" s="147" t="s">
        <v>252</v>
      </c>
      <c r="T60" s="147" t="s">
        <v>74</v>
      </c>
      <c r="U60" s="177">
        <v>9569050</v>
      </c>
      <c r="V60" s="177">
        <v>9569050</v>
      </c>
      <c r="W60" s="147" t="s">
        <v>75</v>
      </c>
      <c r="X60" s="147" t="s">
        <v>67</v>
      </c>
      <c r="Y60" s="147" t="s">
        <v>194</v>
      </c>
      <c r="Z60" s="147" t="s">
        <v>195</v>
      </c>
      <c r="AA60" s="147">
        <v>6012220601</v>
      </c>
      <c r="AB60" s="160" t="s">
        <v>196</v>
      </c>
      <c r="AC60" s="28"/>
      <c r="AD60" s="28"/>
      <c r="AE60" s="28"/>
      <c r="AF60" s="28"/>
      <c r="AG60" s="28">
        <v>10116625</v>
      </c>
      <c r="AH60" s="28"/>
      <c r="AI60" s="28"/>
      <c r="AJ60" s="28"/>
      <c r="AK60" s="28">
        <v>-547575</v>
      </c>
      <c r="AL60" s="28"/>
      <c r="AM60" s="28"/>
      <c r="AN60" s="28"/>
      <c r="AO60" s="28"/>
      <c r="AP60" s="28"/>
      <c r="AQ60" s="28"/>
      <c r="AR60" s="28"/>
      <c r="AS60" s="28"/>
      <c r="AT60" s="28"/>
      <c r="AU60" s="15"/>
      <c r="AV60" s="15"/>
      <c r="AW60" s="15"/>
      <c r="AX60" s="15">
        <v>2998150</v>
      </c>
      <c r="AY60" s="15"/>
      <c r="AZ60" s="15">
        <v>6570900</v>
      </c>
      <c r="BA60" s="17"/>
      <c r="BB60" s="17"/>
      <c r="BC60" s="18">
        <f t="shared" ref="BC60:BD60" si="54">AC60+AE60+AG60+AI60+AK60+AM60+AO60+AQ60+AS60+AU60+AW60+AY60+BA60</f>
        <v>9569050</v>
      </c>
      <c r="BD60" s="18">
        <f t="shared" si="54"/>
        <v>9569050</v>
      </c>
      <c r="BE60" s="19">
        <f t="shared" si="1"/>
        <v>0</v>
      </c>
      <c r="BF60" s="20">
        <f t="shared" si="2"/>
        <v>0</v>
      </c>
      <c r="BG60" s="20">
        <f t="shared" si="3"/>
        <v>0</v>
      </c>
    </row>
    <row r="61" spans="1:59" ht="14.25" customHeight="1">
      <c r="A61" s="147" t="s">
        <v>59</v>
      </c>
      <c r="B61" s="147" t="s">
        <v>187</v>
      </c>
      <c r="C61" s="151" t="s">
        <v>61</v>
      </c>
      <c r="D61" s="151" t="s">
        <v>62</v>
      </c>
      <c r="E61" s="151">
        <v>15</v>
      </c>
      <c r="F61" s="149" t="s">
        <v>255</v>
      </c>
      <c r="G61" s="147" t="s">
        <v>189</v>
      </c>
      <c r="H61" s="149" t="s">
        <v>190</v>
      </c>
      <c r="I61" s="149" t="s">
        <v>202</v>
      </c>
      <c r="J61" s="164">
        <v>43233501</v>
      </c>
      <c r="K61" s="149" t="s">
        <v>192</v>
      </c>
      <c r="L61" s="147" t="s">
        <v>145</v>
      </c>
      <c r="M61" s="147" t="s">
        <v>256</v>
      </c>
      <c r="N61" s="147" t="s">
        <v>100</v>
      </c>
      <c r="O61" s="147" t="s">
        <v>142</v>
      </c>
      <c r="P61" s="147" t="s">
        <v>71</v>
      </c>
      <c r="Q61" s="147">
        <v>12</v>
      </c>
      <c r="R61" s="147" t="s">
        <v>72</v>
      </c>
      <c r="S61" s="147" t="s">
        <v>143</v>
      </c>
      <c r="T61" s="147" t="s">
        <v>74</v>
      </c>
      <c r="U61" s="148">
        <v>4351494</v>
      </c>
      <c r="V61" s="148">
        <v>4351494</v>
      </c>
      <c r="W61" s="147" t="s">
        <v>75</v>
      </c>
      <c r="X61" s="147" t="s">
        <v>67</v>
      </c>
      <c r="Y61" s="147" t="s">
        <v>194</v>
      </c>
      <c r="Z61" s="147" t="s">
        <v>195</v>
      </c>
      <c r="AA61" s="147">
        <v>6012220601</v>
      </c>
      <c r="AB61" s="160" t="s">
        <v>196</v>
      </c>
      <c r="AC61" s="28"/>
      <c r="AD61" s="28"/>
      <c r="AE61" s="28"/>
      <c r="AF61" s="28"/>
      <c r="AG61" s="28"/>
      <c r="AH61" s="28"/>
      <c r="AI61" s="28"/>
      <c r="AJ61" s="28"/>
      <c r="AK61" s="28"/>
      <c r="AL61" s="28"/>
      <c r="AM61" s="28"/>
      <c r="AN61" s="28"/>
      <c r="AO61" s="28"/>
      <c r="AP61" s="28"/>
      <c r="AQ61" s="28"/>
      <c r="AR61" s="28"/>
      <c r="AS61" s="28"/>
      <c r="AT61" s="28"/>
      <c r="AU61" s="25"/>
      <c r="AV61" s="25"/>
      <c r="AW61" s="28">
        <v>4351494</v>
      </c>
      <c r="AX61" s="25"/>
      <c r="AY61" s="25"/>
      <c r="AZ61" s="25">
        <v>4351494</v>
      </c>
      <c r="BA61" s="17"/>
      <c r="BB61" s="17"/>
      <c r="BC61" s="18">
        <f t="shared" ref="BC61:BD61" si="55">AC61+AE61+AG61+AI61+AK61+AM61+AO61+AQ61+AS61+AU61+AW61+AY61+BA61</f>
        <v>4351494</v>
      </c>
      <c r="BD61" s="18">
        <f t="shared" si="55"/>
        <v>4351494</v>
      </c>
      <c r="BE61" s="19">
        <f t="shared" si="1"/>
        <v>0</v>
      </c>
      <c r="BF61" s="20">
        <f t="shared" si="2"/>
        <v>0</v>
      </c>
      <c r="BG61" s="20">
        <f t="shared" si="3"/>
        <v>0</v>
      </c>
    </row>
    <row r="62" spans="1:59" ht="14.25" customHeight="1">
      <c r="A62" s="147" t="s">
        <v>59</v>
      </c>
      <c r="B62" s="147" t="s">
        <v>187</v>
      </c>
      <c r="C62" s="151" t="s">
        <v>61</v>
      </c>
      <c r="D62" s="151" t="s">
        <v>62</v>
      </c>
      <c r="E62" s="151">
        <v>15</v>
      </c>
      <c r="F62" s="149" t="s">
        <v>257</v>
      </c>
      <c r="G62" s="147" t="s">
        <v>189</v>
      </c>
      <c r="H62" s="147" t="s">
        <v>229</v>
      </c>
      <c r="I62" s="149" t="s">
        <v>238</v>
      </c>
      <c r="J62" s="164">
        <v>43233501</v>
      </c>
      <c r="K62" s="147" t="s">
        <v>231</v>
      </c>
      <c r="L62" s="147" t="s">
        <v>145</v>
      </c>
      <c r="M62" s="147" t="s">
        <v>258</v>
      </c>
      <c r="N62" s="147" t="s">
        <v>100</v>
      </c>
      <c r="O62" s="147" t="s">
        <v>142</v>
      </c>
      <c r="P62" s="147" t="s">
        <v>71</v>
      </c>
      <c r="Q62" s="147">
        <v>12</v>
      </c>
      <c r="R62" s="147" t="s">
        <v>72</v>
      </c>
      <c r="S62" s="147" t="s">
        <v>143</v>
      </c>
      <c r="T62" s="147" t="s">
        <v>74</v>
      </c>
      <c r="U62" s="148">
        <v>3019398</v>
      </c>
      <c r="V62" s="148">
        <v>3019398</v>
      </c>
      <c r="W62" s="147" t="s">
        <v>75</v>
      </c>
      <c r="X62" s="147" t="s">
        <v>67</v>
      </c>
      <c r="Y62" s="147" t="s">
        <v>194</v>
      </c>
      <c r="Z62" s="147" t="s">
        <v>195</v>
      </c>
      <c r="AA62" s="147">
        <v>6012220601</v>
      </c>
      <c r="AB62" s="160" t="s">
        <v>196</v>
      </c>
      <c r="AC62" s="28"/>
      <c r="AD62" s="28"/>
      <c r="AE62" s="28"/>
      <c r="AF62" s="28"/>
      <c r="AG62" s="28"/>
      <c r="AH62" s="28"/>
      <c r="AI62" s="28"/>
      <c r="AJ62" s="28"/>
      <c r="AK62" s="28"/>
      <c r="AL62" s="28"/>
      <c r="AM62" s="28"/>
      <c r="AN62" s="28"/>
      <c r="AO62" s="28"/>
      <c r="AP62" s="28"/>
      <c r="AQ62" s="28"/>
      <c r="AR62" s="28"/>
      <c r="AS62" s="28"/>
      <c r="AT62" s="28"/>
      <c r="AU62" s="25"/>
      <c r="AV62" s="25"/>
      <c r="AW62" s="28">
        <v>3019398</v>
      </c>
      <c r="AX62" s="25"/>
      <c r="AY62" s="25"/>
      <c r="AZ62" s="25">
        <v>3019398</v>
      </c>
      <c r="BA62" s="17"/>
      <c r="BB62" s="17"/>
      <c r="BC62" s="18">
        <f t="shared" ref="BC62:BD62" si="56">AC62+AE62+AG62+AI62+AK62+AM62+AO62+AQ62+AS62+AU62+AW62+AY62+BA62</f>
        <v>3019398</v>
      </c>
      <c r="BD62" s="18">
        <f t="shared" si="56"/>
        <v>3019398</v>
      </c>
      <c r="BE62" s="19">
        <f t="shared" si="1"/>
        <v>0</v>
      </c>
      <c r="BF62" s="20">
        <f t="shared" si="2"/>
        <v>0</v>
      </c>
      <c r="BG62" s="20">
        <f t="shared" si="3"/>
        <v>0</v>
      </c>
    </row>
    <row r="63" spans="1:59" ht="14.25" customHeight="1">
      <c r="A63" s="147" t="s">
        <v>59</v>
      </c>
      <c r="B63" s="147" t="s">
        <v>187</v>
      </c>
      <c r="C63" s="151" t="s">
        <v>61</v>
      </c>
      <c r="D63" s="151" t="s">
        <v>62</v>
      </c>
      <c r="E63" s="151">
        <v>41</v>
      </c>
      <c r="F63" s="149" t="s">
        <v>259</v>
      </c>
      <c r="G63" s="147" t="s">
        <v>189</v>
      </c>
      <c r="H63" s="149" t="s">
        <v>190</v>
      </c>
      <c r="I63" s="149" t="s">
        <v>202</v>
      </c>
      <c r="J63" s="164">
        <v>80111620</v>
      </c>
      <c r="K63" s="149" t="s">
        <v>192</v>
      </c>
      <c r="L63" s="147" t="s">
        <v>83</v>
      </c>
      <c r="M63" s="147" t="s">
        <v>260</v>
      </c>
      <c r="N63" s="147" t="s">
        <v>142</v>
      </c>
      <c r="O63" s="147" t="s">
        <v>142</v>
      </c>
      <c r="P63" s="147" t="s">
        <v>142</v>
      </c>
      <c r="Q63" s="147">
        <v>4.5</v>
      </c>
      <c r="R63" s="147" t="s">
        <v>72</v>
      </c>
      <c r="S63" s="147" t="s">
        <v>73</v>
      </c>
      <c r="T63" s="147" t="s">
        <v>74</v>
      </c>
      <c r="U63" s="148">
        <v>32000000</v>
      </c>
      <c r="V63" s="148">
        <v>32000000</v>
      </c>
      <c r="W63" s="147" t="s">
        <v>75</v>
      </c>
      <c r="X63" s="147" t="s">
        <v>67</v>
      </c>
      <c r="Y63" s="147" t="s">
        <v>261</v>
      </c>
      <c r="Z63" s="147" t="s">
        <v>195</v>
      </c>
      <c r="AA63" s="147">
        <v>6012220601</v>
      </c>
      <c r="AB63" s="160" t="s">
        <v>174</v>
      </c>
      <c r="AC63" s="28"/>
      <c r="AD63" s="28"/>
      <c r="AE63" s="28"/>
      <c r="AF63" s="28"/>
      <c r="AG63" s="28"/>
      <c r="AH63" s="28"/>
      <c r="AI63" s="28"/>
      <c r="AJ63" s="28"/>
      <c r="AK63" s="28"/>
      <c r="AL63" s="28"/>
      <c r="AM63" s="28"/>
      <c r="AN63" s="28"/>
      <c r="AO63" s="28"/>
      <c r="AP63" s="28"/>
      <c r="AQ63" s="28">
        <v>32000000</v>
      </c>
      <c r="AR63" s="28"/>
      <c r="AS63" s="28"/>
      <c r="AT63" s="28"/>
      <c r="AU63" s="28"/>
      <c r="AV63" s="25">
        <v>8000000</v>
      </c>
      <c r="AW63" s="25"/>
      <c r="AX63" s="28">
        <v>8000000</v>
      </c>
      <c r="AY63" s="25"/>
      <c r="AZ63" s="25">
        <v>16000000</v>
      </c>
      <c r="BA63" s="17"/>
      <c r="BB63" s="17"/>
      <c r="BC63" s="18">
        <f t="shared" ref="BC63:BD63" si="57">AC63+AE63+AG63+AI63+AK63+AM63+AO63+AQ63+AS63+AU63+AW63+AY63+BA63</f>
        <v>32000000</v>
      </c>
      <c r="BD63" s="18">
        <f t="shared" si="57"/>
        <v>32000000</v>
      </c>
      <c r="BE63" s="19">
        <f t="shared" si="1"/>
        <v>0</v>
      </c>
      <c r="BF63" s="20">
        <f t="shared" si="2"/>
        <v>0</v>
      </c>
      <c r="BG63" s="20">
        <f t="shared" si="3"/>
        <v>0</v>
      </c>
    </row>
    <row r="64" spans="1:59" ht="14.25" customHeight="1">
      <c r="A64" s="147" t="s">
        <v>59</v>
      </c>
      <c r="B64" s="147" t="s">
        <v>187</v>
      </c>
      <c r="C64" s="151" t="s">
        <v>61</v>
      </c>
      <c r="D64" s="151" t="s">
        <v>62</v>
      </c>
      <c r="E64" s="151">
        <v>40</v>
      </c>
      <c r="F64" s="149" t="s">
        <v>262</v>
      </c>
      <c r="G64" s="147" t="s">
        <v>189</v>
      </c>
      <c r="H64" s="147" t="s">
        <v>229</v>
      </c>
      <c r="I64" s="149" t="s">
        <v>230</v>
      </c>
      <c r="J64" s="164">
        <v>80111620</v>
      </c>
      <c r="K64" s="147" t="s">
        <v>231</v>
      </c>
      <c r="L64" s="147" t="s">
        <v>83</v>
      </c>
      <c r="M64" s="147" t="s">
        <v>263</v>
      </c>
      <c r="N64" s="147" t="s">
        <v>91</v>
      </c>
      <c r="O64" s="147" t="s">
        <v>91</v>
      </c>
      <c r="P64" s="147" t="s">
        <v>85</v>
      </c>
      <c r="Q64" s="147">
        <v>11</v>
      </c>
      <c r="R64" s="147" t="s">
        <v>72</v>
      </c>
      <c r="S64" s="147" t="s">
        <v>73</v>
      </c>
      <c r="T64" s="147" t="s">
        <v>74</v>
      </c>
      <c r="U64" s="148">
        <v>352425</v>
      </c>
      <c r="V64" s="148">
        <v>352425</v>
      </c>
      <c r="W64" s="147" t="s">
        <v>75</v>
      </c>
      <c r="X64" s="147" t="s">
        <v>67</v>
      </c>
      <c r="Y64" s="147" t="s">
        <v>261</v>
      </c>
      <c r="Z64" s="147" t="s">
        <v>195</v>
      </c>
      <c r="AA64" s="147">
        <v>6012220601</v>
      </c>
      <c r="AB64" s="160" t="s">
        <v>174</v>
      </c>
      <c r="AC64" s="28"/>
      <c r="AD64" s="28"/>
      <c r="AE64" s="28"/>
      <c r="AF64" s="28"/>
      <c r="AG64" s="28"/>
      <c r="AH64" s="28"/>
      <c r="AI64" s="28"/>
      <c r="AJ64" s="28"/>
      <c r="AK64" s="28"/>
      <c r="AL64" s="28"/>
      <c r="AM64" s="28"/>
      <c r="AN64" s="28"/>
      <c r="AO64" s="28"/>
      <c r="AP64" s="28"/>
      <c r="AQ64" s="28"/>
      <c r="AR64" s="28"/>
      <c r="AS64" s="28"/>
      <c r="AT64" s="28"/>
      <c r="AU64" s="28"/>
      <c r="AV64" s="25"/>
      <c r="AW64" s="25"/>
      <c r="AX64" s="28"/>
      <c r="AY64" s="25">
        <v>352425</v>
      </c>
      <c r="AZ64" s="25">
        <v>352425</v>
      </c>
      <c r="BA64" s="17"/>
      <c r="BB64" s="17"/>
      <c r="BC64" s="18">
        <f t="shared" ref="BC64:BD64" si="58">AC64+AE64+AG64+AI64+AK64+AM64+AO64+AQ64+AS64+AU64+AW64+AY64+BA64</f>
        <v>352425</v>
      </c>
      <c r="BD64" s="18">
        <f t="shared" si="58"/>
        <v>352425</v>
      </c>
      <c r="BE64" s="19">
        <f t="shared" si="1"/>
        <v>0</v>
      </c>
      <c r="BF64" s="20">
        <f t="shared" si="2"/>
        <v>0</v>
      </c>
      <c r="BG64" s="20">
        <f t="shared" si="3"/>
        <v>0</v>
      </c>
    </row>
    <row r="65" spans="1:59" ht="14.25" customHeight="1">
      <c r="A65" s="147" t="s">
        <v>59</v>
      </c>
      <c r="B65" s="147" t="s">
        <v>187</v>
      </c>
      <c r="C65" s="151" t="s">
        <v>61</v>
      </c>
      <c r="D65" s="151" t="s">
        <v>62</v>
      </c>
      <c r="E65" s="151">
        <v>41</v>
      </c>
      <c r="F65" s="149" t="s">
        <v>264</v>
      </c>
      <c r="G65" s="147" t="s">
        <v>189</v>
      </c>
      <c r="H65" s="147" t="s">
        <v>229</v>
      </c>
      <c r="I65" s="149" t="s">
        <v>230</v>
      </c>
      <c r="J65" s="164">
        <v>80111620</v>
      </c>
      <c r="K65" s="147" t="s">
        <v>231</v>
      </c>
      <c r="L65" s="147" t="s">
        <v>83</v>
      </c>
      <c r="M65" s="147" t="s">
        <v>265</v>
      </c>
      <c r="N65" s="147" t="s">
        <v>71</v>
      </c>
      <c r="O65" s="147" t="s">
        <v>71</v>
      </c>
      <c r="P65" s="147" t="s">
        <v>71</v>
      </c>
      <c r="Q65" s="147">
        <v>105</v>
      </c>
      <c r="R65" s="147" t="s">
        <v>213</v>
      </c>
      <c r="S65" s="147" t="s">
        <v>73</v>
      </c>
      <c r="T65" s="147" t="s">
        <v>74</v>
      </c>
      <c r="U65" s="148">
        <v>9474364</v>
      </c>
      <c r="V65" s="148">
        <v>9474364</v>
      </c>
      <c r="W65" s="147" t="s">
        <v>75</v>
      </c>
      <c r="X65" s="147" t="s">
        <v>67</v>
      </c>
      <c r="Y65" s="147" t="s">
        <v>261</v>
      </c>
      <c r="Z65" s="147" t="s">
        <v>195</v>
      </c>
      <c r="AA65" s="147">
        <v>6012220601</v>
      </c>
      <c r="AB65" s="160" t="s">
        <v>174</v>
      </c>
      <c r="AC65" s="28"/>
      <c r="AD65" s="28"/>
      <c r="AE65" s="28"/>
      <c r="AF65" s="28"/>
      <c r="AG65" s="28"/>
      <c r="AH65" s="28"/>
      <c r="AI65" s="28"/>
      <c r="AJ65" s="28"/>
      <c r="AK65" s="28"/>
      <c r="AL65" s="28"/>
      <c r="AM65" s="28"/>
      <c r="AN65" s="28"/>
      <c r="AO65" s="28"/>
      <c r="AP65" s="28"/>
      <c r="AQ65" s="28"/>
      <c r="AR65" s="28"/>
      <c r="AS65" s="28">
        <v>9474364</v>
      </c>
      <c r="AT65" s="28"/>
      <c r="AU65" s="28"/>
      <c r="AV65" s="25"/>
      <c r="AW65" s="25"/>
      <c r="AX65" s="28"/>
      <c r="AY65" s="25"/>
      <c r="AZ65" s="25">
        <v>9474364</v>
      </c>
      <c r="BA65" s="17"/>
      <c r="BB65" s="17"/>
      <c r="BC65" s="18">
        <f t="shared" ref="BC65:BD65" si="59">AC65+AE65+AG65+AI65+AK65+AM65+AO65+AQ65+AS65+AU65+AW65+AY65+BA65</f>
        <v>9474364</v>
      </c>
      <c r="BD65" s="18">
        <f t="shared" si="59"/>
        <v>9474364</v>
      </c>
      <c r="BE65" s="19">
        <f t="shared" si="1"/>
        <v>0</v>
      </c>
      <c r="BF65" s="20">
        <f t="shared" si="2"/>
        <v>0</v>
      </c>
      <c r="BG65" s="20">
        <f t="shared" si="3"/>
        <v>0</v>
      </c>
    </row>
    <row r="66" spans="1:59" ht="14.25" customHeight="1">
      <c r="A66" s="147" t="s">
        <v>59</v>
      </c>
      <c r="B66" s="147" t="s">
        <v>187</v>
      </c>
      <c r="C66" s="151" t="s">
        <v>61</v>
      </c>
      <c r="D66" s="151" t="s">
        <v>62</v>
      </c>
      <c r="E66" s="151">
        <v>41</v>
      </c>
      <c r="F66" s="149" t="s">
        <v>266</v>
      </c>
      <c r="G66" s="147" t="s">
        <v>189</v>
      </c>
      <c r="H66" s="147" t="s">
        <v>229</v>
      </c>
      <c r="I66" s="149" t="s">
        <v>230</v>
      </c>
      <c r="J66" s="164">
        <v>80111620</v>
      </c>
      <c r="K66" s="147" t="s">
        <v>231</v>
      </c>
      <c r="L66" s="147" t="s">
        <v>83</v>
      </c>
      <c r="M66" s="147" t="s">
        <v>267</v>
      </c>
      <c r="N66" s="147" t="s">
        <v>71</v>
      </c>
      <c r="O66" s="147" t="s">
        <v>71</v>
      </c>
      <c r="P66" s="147" t="s">
        <v>71</v>
      </c>
      <c r="Q66" s="147">
        <v>105</v>
      </c>
      <c r="R66" s="147" t="s">
        <v>213</v>
      </c>
      <c r="S66" s="147" t="s">
        <v>73</v>
      </c>
      <c r="T66" s="147" t="s">
        <v>74</v>
      </c>
      <c r="U66" s="148">
        <v>3500000</v>
      </c>
      <c r="V66" s="148">
        <v>3500000</v>
      </c>
      <c r="W66" s="147" t="s">
        <v>75</v>
      </c>
      <c r="X66" s="147" t="s">
        <v>67</v>
      </c>
      <c r="Y66" s="147" t="s">
        <v>261</v>
      </c>
      <c r="Z66" s="147" t="s">
        <v>195</v>
      </c>
      <c r="AA66" s="147">
        <v>6012220601</v>
      </c>
      <c r="AB66" s="160" t="s">
        <v>174</v>
      </c>
      <c r="AC66" s="28"/>
      <c r="AD66" s="28"/>
      <c r="AE66" s="28"/>
      <c r="AF66" s="28"/>
      <c r="AG66" s="28"/>
      <c r="AH66" s="28"/>
      <c r="AI66" s="28"/>
      <c r="AJ66" s="28"/>
      <c r="AK66" s="28"/>
      <c r="AL66" s="28"/>
      <c r="AM66" s="28"/>
      <c r="AN66" s="28"/>
      <c r="AO66" s="28"/>
      <c r="AP66" s="28"/>
      <c r="AQ66" s="28"/>
      <c r="AR66" s="28"/>
      <c r="AS66" s="28">
        <v>3500000</v>
      </c>
      <c r="AT66" s="28"/>
      <c r="AU66" s="28"/>
      <c r="AV66" s="25"/>
      <c r="AW66" s="25"/>
      <c r="AX66" s="28"/>
      <c r="AY66" s="25"/>
      <c r="AZ66" s="25">
        <v>3500000</v>
      </c>
      <c r="BA66" s="17"/>
      <c r="BB66" s="17"/>
      <c r="BC66" s="18">
        <f t="shared" ref="BC66:BD66" si="60">AC66+AE66+AG66+AI66+AK66+AM66+AO66+AQ66+AS66+AU66+AW66+AY66+BA66</f>
        <v>3500000</v>
      </c>
      <c r="BD66" s="18">
        <f t="shared" si="60"/>
        <v>3500000</v>
      </c>
      <c r="BE66" s="19">
        <f t="shared" si="1"/>
        <v>0</v>
      </c>
      <c r="BF66" s="20">
        <f t="shared" si="2"/>
        <v>0</v>
      </c>
      <c r="BG66" s="20">
        <f t="shared" si="3"/>
        <v>0</v>
      </c>
    </row>
    <row r="67" spans="1:59" ht="16.5" customHeight="1">
      <c r="A67" s="147" t="s">
        <v>59</v>
      </c>
      <c r="B67" s="147" t="s">
        <v>268</v>
      </c>
      <c r="C67" s="151" t="s">
        <v>269</v>
      </c>
      <c r="D67" s="151" t="s">
        <v>62</v>
      </c>
      <c r="E67" s="151">
        <v>47</v>
      </c>
      <c r="F67" s="149" t="s">
        <v>270</v>
      </c>
      <c r="G67" s="147" t="s">
        <v>271</v>
      </c>
      <c r="H67" s="147" t="s">
        <v>272</v>
      </c>
      <c r="I67" s="147" t="s">
        <v>273</v>
      </c>
      <c r="J67" s="164" t="s">
        <v>67</v>
      </c>
      <c r="K67" s="147" t="s">
        <v>274</v>
      </c>
      <c r="L67" s="147" t="s">
        <v>275</v>
      </c>
      <c r="M67" s="147" t="s">
        <v>276</v>
      </c>
      <c r="N67" s="147" t="s">
        <v>85</v>
      </c>
      <c r="O67" s="147" t="s">
        <v>85</v>
      </c>
      <c r="P67" s="149" t="s">
        <v>86</v>
      </c>
      <c r="Q67" s="147">
        <v>10</v>
      </c>
      <c r="R67" s="147" t="s">
        <v>72</v>
      </c>
      <c r="S67" s="147" t="s">
        <v>277</v>
      </c>
      <c r="T67" s="147" t="s">
        <v>74</v>
      </c>
      <c r="U67" s="148">
        <v>27952995</v>
      </c>
      <c r="V67" s="148">
        <v>27952995</v>
      </c>
      <c r="W67" s="147" t="s">
        <v>75</v>
      </c>
      <c r="X67" s="147" t="s">
        <v>67</v>
      </c>
      <c r="Y67" s="147" t="s">
        <v>278</v>
      </c>
      <c r="Z67" s="147" t="s">
        <v>279</v>
      </c>
      <c r="AA67" s="147">
        <v>6012220601</v>
      </c>
      <c r="AB67" s="160" t="s">
        <v>280</v>
      </c>
      <c r="AC67" s="14"/>
      <c r="AD67" s="14"/>
      <c r="AE67" s="14">
        <v>1774730</v>
      </c>
      <c r="AF67" s="14">
        <v>1774730</v>
      </c>
      <c r="AG67" s="14"/>
      <c r="AH67" s="14"/>
      <c r="AI67" s="25">
        <v>704838</v>
      </c>
      <c r="AJ67" s="14">
        <v>704838</v>
      </c>
      <c r="AK67" s="14">
        <v>826125</v>
      </c>
      <c r="AL67" s="14">
        <v>826125</v>
      </c>
      <c r="AM67" s="14"/>
      <c r="AN67" s="14"/>
      <c r="AO67" s="14">
        <v>3211135</v>
      </c>
      <c r="AP67" s="14">
        <v>3211135</v>
      </c>
      <c r="AQ67" s="14">
        <v>351429</v>
      </c>
      <c r="AR67" s="14"/>
      <c r="AS67" s="14"/>
      <c r="AT67" s="14">
        <f>176791+174638</f>
        <v>351429</v>
      </c>
      <c r="AU67" s="27">
        <v>3000000</v>
      </c>
      <c r="AV67" s="28">
        <v>3000000</v>
      </c>
      <c r="AW67" s="27">
        <v>7000000</v>
      </c>
      <c r="AX67" s="25">
        <v>7000000</v>
      </c>
      <c r="AY67" s="27">
        <v>7084738</v>
      </c>
      <c r="AZ67" s="25">
        <v>7084738</v>
      </c>
      <c r="BA67" s="33">
        <v>4000000</v>
      </c>
      <c r="BB67" s="33">
        <v>4000000</v>
      </c>
      <c r="BC67" s="18">
        <f t="shared" ref="BC67:BD67" si="61">AC67+AE67+AG67+AI67+AK67+AM67+AO67+AQ67+AS67+AU67+AW67+AY67+BA67</f>
        <v>27952995</v>
      </c>
      <c r="BD67" s="18">
        <f t="shared" si="61"/>
        <v>27952995</v>
      </c>
      <c r="BE67" s="19">
        <f t="shared" si="1"/>
        <v>0</v>
      </c>
      <c r="BF67" s="20">
        <f t="shared" si="2"/>
        <v>0</v>
      </c>
      <c r="BG67" s="20">
        <f t="shared" si="3"/>
        <v>0</v>
      </c>
    </row>
    <row r="68" spans="1:59" ht="30">
      <c r="A68" s="147" t="s">
        <v>59</v>
      </c>
      <c r="B68" s="147" t="s">
        <v>268</v>
      </c>
      <c r="C68" s="151" t="s">
        <v>269</v>
      </c>
      <c r="D68" s="151" t="s">
        <v>62</v>
      </c>
      <c r="E68" s="151">
        <v>47</v>
      </c>
      <c r="F68" s="149" t="s">
        <v>281</v>
      </c>
      <c r="G68" s="147" t="s">
        <v>271</v>
      </c>
      <c r="H68" s="147" t="s">
        <v>272</v>
      </c>
      <c r="I68" s="147" t="s">
        <v>282</v>
      </c>
      <c r="J68" s="164">
        <v>80141607</v>
      </c>
      <c r="K68" s="147" t="s">
        <v>274</v>
      </c>
      <c r="L68" s="147" t="s">
        <v>283</v>
      </c>
      <c r="M68" s="147" t="s">
        <v>284</v>
      </c>
      <c r="N68" s="147" t="s">
        <v>71</v>
      </c>
      <c r="O68" s="147" t="s">
        <v>71</v>
      </c>
      <c r="P68" s="147" t="s">
        <v>180</v>
      </c>
      <c r="Q68" s="147">
        <v>2</v>
      </c>
      <c r="R68" s="147" t="s">
        <v>72</v>
      </c>
      <c r="S68" s="147" t="s">
        <v>156</v>
      </c>
      <c r="T68" s="147" t="s">
        <v>74</v>
      </c>
      <c r="U68" s="148">
        <v>7952995</v>
      </c>
      <c r="V68" s="148">
        <v>7952995</v>
      </c>
      <c r="W68" s="147" t="s">
        <v>75</v>
      </c>
      <c r="X68" s="147" t="s">
        <v>67</v>
      </c>
      <c r="Y68" s="147" t="s">
        <v>278</v>
      </c>
      <c r="Z68" s="147" t="s">
        <v>279</v>
      </c>
      <c r="AA68" s="147">
        <v>6012220601</v>
      </c>
      <c r="AB68" s="160" t="s">
        <v>285</v>
      </c>
      <c r="AC68" s="14"/>
      <c r="AD68" s="14"/>
      <c r="AE68" s="14"/>
      <c r="AF68" s="14"/>
      <c r="AG68" s="14"/>
      <c r="AH68" s="14"/>
      <c r="AI68" s="25"/>
      <c r="AJ68" s="14"/>
      <c r="AK68" s="14"/>
      <c r="AL68" s="14"/>
      <c r="AM68" s="14"/>
      <c r="AN68" s="14"/>
      <c r="AO68" s="14"/>
      <c r="AP68" s="14"/>
      <c r="AQ68" s="14"/>
      <c r="AR68" s="14"/>
      <c r="AS68" s="14"/>
      <c r="AT68" s="14"/>
      <c r="AU68" s="25">
        <v>7952995</v>
      </c>
      <c r="AV68" s="25"/>
      <c r="AW68" s="28"/>
      <c r="AX68" s="28">
        <v>7952995</v>
      </c>
      <c r="AY68" s="25"/>
      <c r="AZ68" s="25"/>
      <c r="BA68" s="17"/>
      <c r="BB68" s="17"/>
      <c r="BC68" s="18">
        <f t="shared" ref="BC68:BD68" si="62">AC68+AE68+AG68+AI68+AK68+AM68+AO68+AQ68+AS68+AU68+AW68+AY68+BA68</f>
        <v>7952995</v>
      </c>
      <c r="BD68" s="18">
        <f t="shared" si="62"/>
        <v>7952995</v>
      </c>
      <c r="BE68" s="19">
        <f t="shared" si="1"/>
        <v>0</v>
      </c>
      <c r="BF68" s="20">
        <f t="shared" si="2"/>
        <v>0</v>
      </c>
      <c r="BG68" s="20">
        <f t="shared" si="3"/>
        <v>0</v>
      </c>
    </row>
    <row r="69" spans="1:59" ht="17.25" customHeight="1">
      <c r="A69" s="150" t="s">
        <v>59</v>
      </c>
      <c r="B69" s="150" t="s">
        <v>268</v>
      </c>
      <c r="C69" s="152" t="s">
        <v>269</v>
      </c>
      <c r="D69" s="152" t="s">
        <v>62</v>
      </c>
      <c r="E69" s="152" t="s">
        <v>114</v>
      </c>
      <c r="F69" s="150" t="s">
        <v>286</v>
      </c>
      <c r="G69" s="150" t="s">
        <v>271</v>
      </c>
      <c r="H69" s="150" t="s">
        <v>287</v>
      </c>
      <c r="I69" s="150" t="s">
        <v>288</v>
      </c>
      <c r="J69" s="181">
        <v>80111620</v>
      </c>
      <c r="K69" s="150" t="s">
        <v>289</v>
      </c>
      <c r="L69" s="150" t="s">
        <v>83</v>
      </c>
      <c r="M69" s="150" t="s">
        <v>290</v>
      </c>
      <c r="N69" s="150" t="s">
        <v>91</v>
      </c>
      <c r="O69" s="150" t="s">
        <v>91</v>
      </c>
      <c r="P69" s="150" t="s">
        <v>91</v>
      </c>
      <c r="Q69" s="150">
        <v>12</v>
      </c>
      <c r="R69" s="150" t="s">
        <v>72</v>
      </c>
      <c r="S69" s="150" t="s">
        <v>73</v>
      </c>
      <c r="T69" s="150" t="s">
        <v>74</v>
      </c>
      <c r="U69" s="183">
        <v>5228050</v>
      </c>
      <c r="V69" s="183">
        <v>5228050</v>
      </c>
      <c r="W69" s="150" t="s">
        <v>75</v>
      </c>
      <c r="X69" s="150" t="s">
        <v>67</v>
      </c>
      <c r="Y69" s="150" t="s">
        <v>278</v>
      </c>
      <c r="Z69" s="150" t="s">
        <v>279</v>
      </c>
      <c r="AA69" s="150">
        <v>6012220601</v>
      </c>
      <c r="AB69" s="184" t="s">
        <v>280</v>
      </c>
      <c r="AC69" s="14">
        <v>5228050</v>
      </c>
      <c r="AD69" s="14"/>
      <c r="AE69" s="14"/>
      <c r="AF69" s="14"/>
      <c r="AG69" s="14"/>
      <c r="AH69" s="14"/>
      <c r="AI69" s="25"/>
      <c r="AJ69" s="14"/>
      <c r="AK69" s="14"/>
      <c r="AL69" s="14"/>
      <c r="AM69" s="14"/>
      <c r="AN69" s="14"/>
      <c r="AO69" s="14"/>
      <c r="AP69" s="14"/>
      <c r="AQ69" s="14"/>
      <c r="AR69" s="14"/>
      <c r="AS69" s="14"/>
      <c r="AT69" s="14"/>
      <c r="AU69" s="42"/>
      <c r="AV69" s="42"/>
      <c r="AW69" s="42"/>
      <c r="AX69" s="42"/>
      <c r="AY69" s="42"/>
      <c r="AZ69" s="42">
        <v>5228050</v>
      </c>
      <c r="BA69" s="17"/>
      <c r="BB69" s="17"/>
      <c r="BC69" s="18">
        <f t="shared" ref="BC69:BD69" si="63">AC69+AE69+AG69+AI69+AK69+AM69+AO69+AQ69+AS69+AU69+AW69+AY69+BA69</f>
        <v>5228050</v>
      </c>
      <c r="BD69" s="18">
        <f t="shared" si="63"/>
        <v>5228050</v>
      </c>
      <c r="BE69" s="19">
        <f t="shared" si="1"/>
        <v>0</v>
      </c>
      <c r="BF69" s="20">
        <f t="shared" si="2"/>
        <v>0</v>
      </c>
      <c r="BG69" s="20">
        <f t="shared" si="3"/>
        <v>0</v>
      </c>
    </row>
    <row r="70" spans="1:59" ht="17.25" customHeight="1">
      <c r="A70" s="150" t="s">
        <v>59</v>
      </c>
      <c r="B70" s="150" t="s">
        <v>268</v>
      </c>
      <c r="C70" s="152" t="s">
        <v>269</v>
      </c>
      <c r="D70" s="152" t="s">
        <v>62</v>
      </c>
      <c r="E70" s="152" t="s">
        <v>114</v>
      </c>
      <c r="F70" s="150" t="s">
        <v>291</v>
      </c>
      <c r="G70" s="150" t="s">
        <v>271</v>
      </c>
      <c r="H70" s="150" t="s">
        <v>287</v>
      </c>
      <c r="I70" s="150" t="s">
        <v>288</v>
      </c>
      <c r="J70" s="181">
        <v>80111620</v>
      </c>
      <c r="K70" s="150" t="s">
        <v>289</v>
      </c>
      <c r="L70" s="150" t="s">
        <v>83</v>
      </c>
      <c r="M70" s="150" t="s">
        <v>292</v>
      </c>
      <c r="N70" s="150" t="s">
        <v>91</v>
      </c>
      <c r="O70" s="150" t="s">
        <v>91</v>
      </c>
      <c r="P70" s="150" t="s">
        <v>91</v>
      </c>
      <c r="Q70" s="150">
        <v>12</v>
      </c>
      <c r="R70" s="150" t="s">
        <v>72</v>
      </c>
      <c r="S70" s="150" t="s">
        <v>73</v>
      </c>
      <c r="T70" s="150" t="s">
        <v>74</v>
      </c>
      <c r="U70" s="183">
        <v>5228050</v>
      </c>
      <c r="V70" s="183">
        <v>5228050</v>
      </c>
      <c r="W70" s="150" t="s">
        <v>75</v>
      </c>
      <c r="X70" s="150" t="s">
        <v>67</v>
      </c>
      <c r="Y70" s="150" t="s">
        <v>278</v>
      </c>
      <c r="Z70" s="150" t="s">
        <v>279</v>
      </c>
      <c r="AA70" s="150">
        <v>6012220601</v>
      </c>
      <c r="AB70" s="184" t="s">
        <v>280</v>
      </c>
      <c r="AC70" s="14">
        <v>5228050</v>
      </c>
      <c r="AD70" s="14"/>
      <c r="AE70" s="14"/>
      <c r="AF70" s="14"/>
      <c r="AG70" s="14"/>
      <c r="AH70" s="14"/>
      <c r="AI70" s="25"/>
      <c r="AJ70" s="14"/>
      <c r="AK70" s="14"/>
      <c r="AL70" s="14"/>
      <c r="AM70" s="14"/>
      <c r="AN70" s="14"/>
      <c r="AO70" s="14"/>
      <c r="AP70" s="14"/>
      <c r="AQ70" s="14"/>
      <c r="AR70" s="14"/>
      <c r="AS70" s="14"/>
      <c r="AT70" s="14"/>
      <c r="AU70" s="42"/>
      <c r="AV70" s="42"/>
      <c r="AW70" s="42"/>
      <c r="AX70" s="42"/>
      <c r="AY70" s="42"/>
      <c r="AZ70" s="42">
        <v>5228050</v>
      </c>
      <c r="BA70" s="17"/>
      <c r="BB70" s="17"/>
      <c r="BC70" s="18">
        <f t="shared" ref="BC70:BD70" si="64">AC70+AE70+AG70+AI70+AK70+AM70+AO70+AQ70+AS70+AU70+AW70+AY70+BA70</f>
        <v>5228050</v>
      </c>
      <c r="BD70" s="18">
        <f t="shared" si="64"/>
        <v>5228050</v>
      </c>
      <c r="BE70" s="19">
        <f t="shared" si="1"/>
        <v>0</v>
      </c>
      <c r="BF70" s="20">
        <f t="shared" si="2"/>
        <v>0</v>
      </c>
      <c r="BG70" s="20">
        <f t="shared" si="3"/>
        <v>0</v>
      </c>
    </row>
    <row r="71" spans="1:59" ht="17.25" customHeight="1">
      <c r="A71" s="147" t="s">
        <v>59</v>
      </c>
      <c r="B71" s="147" t="s">
        <v>268</v>
      </c>
      <c r="C71" s="151" t="s">
        <v>269</v>
      </c>
      <c r="D71" s="151" t="s">
        <v>62</v>
      </c>
      <c r="E71" s="151">
        <v>32</v>
      </c>
      <c r="F71" s="149" t="s">
        <v>293</v>
      </c>
      <c r="G71" s="147" t="s">
        <v>271</v>
      </c>
      <c r="H71" s="147" t="s">
        <v>287</v>
      </c>
      <c r="I71" s="147" t="s">
        <v>288</v>
      </c>
      <c r="J71" s="164">
        <v>81101516</v>
      </c>
      <c r="K71" s="147" t="s">
        <v>289</v>
      </c>
      <c r="L71" s="147" t="s">
        <v>248</v>
      </c>
      <c r="M71" s="147" t="s">
        <v>294</v>
      </c>
      <c r="N71" s="147" t="s">
        <v>99</v>
      </c>
      <c r="O71" s="147" t="s">
        <v>99</v>
      </c>
      <c r="P71" s="147" t="s">
        <v>100</v>
      </c>
      <c r="Q71" s="147">
        <v>5</v>
      </c>
      <c r="R71" s="147" t="s">
        <v>72</v>
      </c>
      <c r="S71" s="147" t="s">
        <v>277</v>
      </c>
      <c r="T71" s="147" t="s">
        <v>74</v>
      </c>
      <c r="U71" s="148">
        <v>3051953</v>
      </c>
      <c r="V71" s="148">
        <v>3051953</v>
      </c>
      <c r="W71" s="147" t="s">
        <v>75</v>
      </c>
      <c r="X71" s="147" t="s">
        <v>67</v>
      </c>
      <c r="Y71" s="147" t="s">
        <v>278</v>
      </c>
      <c r="Z71" s="147" t="s">
        <v>279</v>
      </c>
      <c r="AA71" s="147">
        <v>6012220601</v>
      </c>
      <c r="AB71" s="160" t="s">
        <v>280</v>
      </c>
      <c r="AC71" s="14"/>
      <c r="AD71" s="14"/>
      <c r="AE71" s="14"/>
      <c r="AF71" s="14"/>
      <c r="AG71" s="14"/>
      <c r="AH71" s="14"/>
      <c r="AI71" s="15"/>
      <c r="AJ71" s="14"/>
      <c r="AK71" s="14"/>
      <c r="AL71" s="14"/>
      <c r="AM71" s="14"/>
      <c r="AN71" s="14"/>
      <c r="AO71" s="14"/>
      <c r="AP71" s="14"/>
      <c r="AQ71" s="14"/>
      <c r="AR71" s="14"/>
      <c r="AS71" s="14"/>
      <c r="AT71" s="14"/>
      <c r="AU71" s="15"/>
      <c r="AV71" s="15"/>
      <c r="AW71" s="15">
        <v>3051953</v>
      </c>
      <c r="AX71" s="15"/>
      <c r="AY71" s="15"/>
      <c r="AZ71" s="15">
        <v>3051953</v>
      </c>
      <c r="BA71" s="17"/>
      <c r="BB71" s="17"/>
      <c r="BC71" s="18">
        <f t="shared" ref="BC71:BD71" si="65">AC71+AE71+AG71+AI71+AK71+AM71+AO71+AQ71+AS71+AU71+AW71+AY71+BA71</f>
        <v>3051953</v>
      </c>
      <c r="BD71" s="18">
        <f t="shared" si="65"/>
        <v>3051953</v>
      </c>
      <c r="BE71" s="19">
        <f t="shared" si="1"/>
        <v>0</v>
      </c>
      <c r="BF71" s="20">
        <f t="shared" si="2"/>
        <v>0</v>
      </c>
      <c r="BG71" s="20">
        <f t="shared" si="3"/>
        <v>0</v>
      </c>
    </row>
    <row r="72" spans="1:59" ht="17.25" customHeight="1">
      <c r="A72" s="147" t="s">
        <v>59</v>
      </c>
      <c r="B72" s="147" t="s">
        <v>268</v>
      </c>
      <c r="C72" s="151" t="s">
        <v>269</v>
      </c>
      <c r="D72" s="151" t="s">
        <v>62</v>
      </c>
      <c r="E72" s="151">
        <v>44</v>
      </c>
      <c r="F72" s="149" t="s">
        <v>295</v>
      </c>
      <c r="G72" s="147" t="s">
        <v>271</v>
      </c>
      <c r="H72" s="147" t="s">
        <v>287</v>
      </c>
      <c r="I72" s="147" t="s">
        <v>296</v>
      </c>
      <c r="J72" s="164">
        <v>80111620</v>
      </c>
      <c r="K72" s="147" t="s">
        <v>289</v>
      </c>
      <c r="L72" s="147" t="s">
        <v>83</v>
      </c>
      <c r="M72" s="147" t="s">
        <v>297</v>
      </c>
      <c r="N72" s="147" t="s">
        <v>71</v>
      </c>
      <c r="O72" s="147" t="s">
        <v>71</v>
      </c>
      <c r="P72" s="149" t="s">
        <v>180</v>
      </c>
      <c r="Q72" s="147">
        <v>3</v>
      </c>
      <c r="R72" s="147" t="s">
        <v>72</v>
      </c>
      <c r="S72" s="147" t="s">
        <v>73</v>
      </c>
      <c r="T72" s="147" t="s">
        <v>74</v>
      </c>
      <c r="U72" s="148">
        <v>12681900</v>
      </c>
      <c r="V72" s="148">
        <v>12681900</v>
      </c>
      <c r="W72" s="147" t="s">
        <v>75</v>
      </c>
      <c r="X72" s="147" t="s">
        <v>67</v>
      </c>
      <c r="Y72" s="147" t="s">
        <v>278</v>
      </c>
      <c r="Z72" s="147" t="s">
        <v>279</v>
      </c>
      <c r="AA72" s="147">
        <v>6012220601</v>
      </c>
      <c r="AB72" s="160" t="s">
        <v>280</v>
      </c>
      <c r="AC72" s="14"/>
      <c r="AD72" s="14"/>
      <c r="AE72" s="14"/>
      <c r="AF72" s="14"/>
      <c r="AG72" s="14"/>
      <c r="AH72" s="14"/>
      <c r="AI72" s="25"/>
      <c r="AJ72" s="14"/>
      <c r="AK72" s="14"/>
      <c r="AL72" s="14"/>
      <c r="AM72" s="14"/>
      <c r="AN72" s="14"/>
      <c r="AO72" s="14"/>
      <c r="AP72" s="14"/>
      <c r="AQ72" s="14"/>
      <c r="AR72" s="14"/>
      <c r="AS72" s="14"/>
      <c r="AT72" s="14"/>
      <c r="AU72" s="28">
        <v>12681900</v>
      </c>
      <c r="AV72" s="25"/>
      <c r="AW72" s="25"/>
      <c r="AX72" s="28">
        <v>4227300</v>
      </c>
      <c r="AY72" s="25"/>
      <c r="AZ72" s="25">
        <v>8454600</v>
      </c>
      <c r="BA72" s="17"/>
      <c r="BB72" s="17"/>
      <c r="BC72" s="18">
        <f t="shared" ref="BC72:BD72" si="66">AC72+AE72+AG72+AI72+AK72+AM72+AO72+AQ72+AS72+AU72+AW72+AY72+BA72</f>
        <v>12681900</v>
      </c>
      <c r="BD72" s="18">
        <f t="shared" si="66"/>
        <v>12681900</v>
      </c>
      <c r="BE72" s="19">
        <f t="shared" si="1"/>
        <v>0</v>
      </c>
      <c r="BF72" s="20">
        <f t="shared" si="2"/>
        <v>0</v>
      </c>
      <c r="BG72" s="20">
        <f t="shared" si="3"/>
        <v>0</v>
      </c>
    </row>
    <row r="73" spans="1:59" ht="17.25" customHeight="1">
      <c r="A73" s="147" t="s">
        <v>59</v>
      </c>
      <c r="B73" s="147" t="s">
        <v>268</v>
      </c>
      <c r="C73" s="151" t="s">
        <v>269</v>
      </c>
      <c r="D73" s="151" t="s">
        <v>62</v>
      </c>
      <c r="E73" s="151">
        <v>28</v>
      </c>
      <c r="F73" s="149" t="s">
        <v>298</v>
      </c>
      <c r="G73" s="147" t="s">
        <v>271</v>
      </c>
      <c r="H73" s="147" t="s">
        <v>287</v>
      </c>
      <c r="I73" s="147" t="s">
        <v>296</v>
      </c>
      <c r="J73" s="164">
        <v>80111620</v>
      </c>
      <c r="K73" s="147" t="s">
        <v>289</v>
      </c>
      <c r="L73" s="147" t="s">
        <v>83</v>
      </c>
      <c r="M73" s="147" t="s">
        <v>299</v>
      </c>
      <c r="N73" s="147" t="s">
        <v>91</v>
      </c>
      <c r="O73" s="147" t="s">
        <v>91</v>
      </c>
      <c r="P73" s="147" t="s">
        <v>91</v>
      </c>
      <c r="Q73" s="147">
        <v>12</v>
      </c>
      <c r="R73" s="147" t="s">
        <v>72</v>
      </c>
      <c r="S73" s="147" t="s">
        <v>73</v>
      </c>
      <c r="T73" s="147" t="s">
        <v>74</v>
      </c>
      <c r="U73" s="148">
        <v>99400400</v>
      </c>
      <c r="V73" s="148">
        <v>99400400</v>
      </c>
      <c r="W73" s="147" t="s">
        <v>75</v>
      </c>
      <c r="X73" s="147" t="s">
        <v>67</v>
      </c>
      <c r="Y73" s="147" t="s">
        <v>278</v>
      </c>
      <c r="Z73" s="147" t="s">
        <v>279</v>
      </c>
      <c r="AA73" s="147">
        <v>6012220601</v>
      </c>
      <c r="AB73" s="160" t="s">
        <v>280</v>
      </c>
      <c r="AC73" s="14">
        <v>98543500</v>
      </c>
      <c r="AD73" s="14"/>
      <c r="AE73" s="14"/>
      <c r="AF73" s="14">
        <v>5141400</v>
      </c>
      <c r="AG73" s="14"/>
      <c r="AH73" s="14">
        <v>8569000</v>
      </c>
      <c r="AI73" s="25"/>
      <c r="AJ73" s="14">
        <v>8569000</v>
      </c>
      <c r="AK73" s="14"/>
      <c r="AL73" s="14">
        <v>8569000</v>
      </c>
      <c r="AM73" s="14"/>
      <c r="AN73" s="14">
        <v>8569000</v>
      </c>
      <c r="AO73" s="14"/>
      <c r="AP73" s="14">
        <v>8569000</v>
      </c>
      <c r="AQ73" s="14"/>
      <c r="AR73" s="14">
        <v>8569000</v>
      </c>
      <c r="AS73" s="14"/>
      <c r="AT73" s="14">
        <v>8569000</v>
      </c>
      <c r="AU73" s="25"/>
      <c r="AV73" s="25">
        <v>8569000</v>
      </c>
      <c r="AW73" s="25"/>
      <c r="AX73" s="25">
        <v>8569000</v>
      </c>
      <c r="AY73" s="28">
        <v>856900</v>
      </c>
      <c r="AZ73" s="25">
        <v>17138000</v>
      </c>
      <c r="BA73" s="17"/>
      <c r="BB73" s="17"/>
      <c r="BC73" s="18">
        <f t="shared" ref="BC73:BD73" si="67">AC73+AE73+AG73+AI73+AK73+AM73+AO73+AQ73+AS73+AU73+AW73+AY73+BA73</f>
        <v>99400400</v>
      </c>
      <c r="BD73" s="18">
        <f t="shared" si="67"/>
        <v>99400400</v>
      </c>
      <c r="BE73" s="19">
        <f t="shared" si="1"/>
        <v>0</v>
      </c>
      <c r="BF73" s="20">
        <f t="shared" si="2"/>
        <v>0</v>
      </c>
      <c r="BG73" s="20">
        <f t="shared" si="3"/>
        <v>0</v>
      </c>
    </row>
    <row r="74" spans="1:59" ht="17.25" customHeight="1">
      <c r="A74" s="147" t="s">
        <v>59</v>
      </c>
      <c r="B74" s="147" t="s">
        <v>268</v>
      </c>
      <c r="C74" s="151" t="s">
        <v>269</v>
      </c>
      <c r="D74" s="151" t="s">
        <v>62</v>
      </c>
      <c r="E74" s="151">
        <v>32</v>
      </c>
      <c r="F74" s="149" t="s">
        <v>300</v>
      </c>
      <c r="G74" s="147" t="s">
        <v>271</v>
      </c>
      <c r="H74" s="147" t="s">
        <v>287</v>
      </c>
      <c r="I74" s="147" t="s">
        <v>296</v>
      </c>
      <c r="J74" s="164">
        <v>80111620</v>
      </c>
      <c r="K74" s="147" t="s">
        <v>289</v>
      </c>
      <c r="L74" s="147" t="s">
        <v>83</v>
      </c>
      <c r="M74" s="147" t="s">
        <v>301</v>
      </c>
      <c r="N74" s="147" t="s">
        <v>91</v>
      </c>
      <c r="O74" s="147" t="s">
        <v>91</v>
      </c>
      <c r="P74" s="147" t="s">
        <v>91</v>
      </c>
      <c r="Q74" s="147">
        <v>12</v>
      </c>
      <c r="R74" s="147" t="s">
        <v>72</v>
      </c>
      <c r="S74" s="147" t="s">
        <v>73</v>
      </c>
      <c r="T74" s="147" t="s">
        <v>74</v>
      </c>
      <c r="U74" s="148">
        <v>97115333</v>
      </c>
      <c r="V74" s="148">
        <v>97115333</v>
      </c>
      <c r="W74" s="147" t="s">
        <v>75</v>
      </c>
      <c r="X74" s="147" t="s">
        <v>67</v>
      </c>
      <c r="Y74" s="147" t="s">
        <v>278</v>
      </c>
      <c r="Z74" s="147" t="s">
        <v>279</v>
      </c>
      <c r="AA74" s="147">
        <v>6012220601</v>
      </c>
      <c r="AB74" s="160" t="s">
        <v>280</v>
      </c>
      <c r="AC74" s="14">
        <v>98543500</v>
      </c>
      <c r="AD74" s="14"/>
      <c r="AE74" s="14">
        <v>-1428167</v>
      </c>
      <c r="AF74" s="14">
        <v>2856333</v>
      </c>
      <c r="AG74" s="14"/>
      <c r="AH74" s="14">
        <v>8569000</v>
      </c>
      <c r="AI74" s="25"/>
      <c r="AJ74" s="14">
        <v>8569000</v>
      </c>
      <c r="AK74" s="14"/>
      <c r="AL74" s="14">
        <v>8569000</v>
      </c>
      <c r="AM74" s="14"/>
      <c r="AN74" s="14">
        <v>8569000</v>
      </c>
      <c r="AO74" s="14"/>
      <c r="AP74" s="14">
        <v>8569000</v>
      </c>
      <c r="AQ74" s="14"/>
      <c r="AR74" s="14">
        <v>8569000</v>
      </c>
      <c r="AS74" s="14"/>
      <c r="AT74" s="14">
        <v>8569000</v>
      </c>
      <c r="AU74" s="25"/>
      <c r="AV74" s="25">
        <v>8569000</v>
      </c>
      <c r="AW74" s="25"/>
      <c r="AX74" s="25">
        <v>8569000</v>
      </c>
      <c r="AY74" s="25"/>
      <c r="AZ74" s="25">
        <v>17138000</v>
      </c>
      <c r="BA74" s="17"/>
      <c r="BB74" s="17"/>
      <c r="BC74" s="18">
        <f t="shared" ref="BC74:BD74" si="68">AC74+AE74+AG74+AI74+AK74+AM74+AO74+AQ74+AS74+AU74+AW74+AY74+BA74</f>
        <v>97115333</v>
      </c>
      <c r="BD74" s="18">
        <f t="shared" si="68"/>
        <v>97115333</v>
      </c>
      <c r="BE74" s="19">
        <f t="shared" si="1"/>
        <v>0</v>
      </c>
      <c r="BF74" s="20">
        <f t="shared" si="2"/>
        <v>0</v>
      </c>
      <c r="BG74" s="20">
        <f t="shared" si="3"/>
        <v>0</v>
      </c>
    </row>
    <row r="75" spans="1:59" ht="17.25" customHeight="1">
      <c r="A75" s="147" t="s">
        <v>59</v>
      </c>
      <c r="B75" s="147" t="s">
        <v>268</v>
      </c>
      <c r="C75" s="151" t="s">
        <v>269</v>
      </c>
      <c r="D75" s="151" t="s">
        <v>62</v>
      </c>
      <c r="E75" s="151">
        <v>32</v>
      </c>
      <c r="F75" s="149" t="s">
        <v>302</v>
      </c>
      <c r="G75" s="147" t="s">
        <v>271</v>
      </c>
      <c r="H75" s="147" t="s">
        <v>287</v>
      </c>
      <c r="I75" s="147" t="s">
        <v>296</v>
      </c>
      <c r="J75" s="164">
        <v>80111620</v>
      </c>
      <c r="K75" s="147" t="s">
        <v>289</v>
      </c>
      <c r="L75" s="147" t="s">
        <v>83</v>
      </c>
      <c r="M75" s="147" t="s">
        <v>303</v>
      </c>
      <c r="N75" s="147" t="s">
        <v>91</v>
      </c>
      <c r="O75" s="147" t="s">
        <v>91</v>
      </c>
      <c r="P75" s="147" t="s">
        <v>91</v>
      </c>
      <c r="Q75" s="147">
        <v>12</v>
      </c>
      <c r="R75" s="147" t="s">
        <v>72</v>
      </c>
      <c r="S75" s="147" t="s">
        <v>73</v>
      </c>
      <c r="T75" s="147" t="s">
        <v>74</v>
      </c>
      <c r="U75" s="148">
        <v>62757067</v>
      </c>
      <c r="V75" s="148">
        <v>62757067</v>
      </c>
      <c r="W75" s="147" t="s">
        <v>75</v>
      </c>
      <c r="X75" s="147" t="s">
        <v>67</v>
      </c>
      <c r="Y75" s="147" t="s">
        <v>278</v>
      </c>
      <c r="Z75" s="147" t="s">
        <v>279</v>
      </c>
      <c r="AA75" s="147">
        <v>6012220601</v>
      </c>
      <c r="AB75" s="160" t="s">
        <v>280</v>
      </c>
      <c r="AC75" s="14">
        <v>62939500</v>
      </c>
      <c r="AD75" s="14"/>
      <c r="AE75" s="14">
        <v>-182433</v>
      </c>
      <c r="AF75" s="14">
        <v>2554067</v>
      </c>
      <c r="AG75" s="14"/>
      <c r="AH75" s="14">
        <v>5473000</v>
      </c>
      <c r="AI75" s="25"/>
      <c r="AJ75" s="14">
        <v>5473000</v>
      </c>
      <c r="AK75" s="14"/>
      <c r="AL75" s="14">
        <v>5473000</v>
      </c>
      <c r="AM75" s="14"/>
      <c r="AN75" s="14">
        <v>5473000</v>
      </c>
      <c r="AO75" s="14"/>
      <c r="AP75" s="14">
        <v>5473000</v>
      </c>
      <c r="AQ75" s="14"/>
      <c r="AR75" s="14">
        <v>5473000</v>
      </c>
      <c r="AS75" s="14"/>
      <c r="AT75" s="14">
        <v>5473000</v>
      </c>
      <c r="AU75" s="25"/>
      <c r="AV75" s="28">
        <v>5473000</v>
      </c>
      <c r="AW75" s="25"/>
      <c r="AX75" s="25">
        <v>5473000</v>
      </c>
      <c r="AY75" s="25"/>
      <c r="AZ75" s="25">
        <v>10946000</v>
      </c>
      <c r="BA75" s="17"/>
      <c r="BB75" s="17"/>
      <c r="BC75" s="18">
        <f t="shared" ref="BC75:BD75" si="69">AC75+AE75+AG75+AI75+AK75+AM75+AO75+AQ75+AS75+AU75+AW75+AY75+BA75</f>
        <v>62757067</v>
      </c>
      <c r="BD75" s="18">
        <f t="shared" si="69"/>
        <v>62757067</v>
      </c>
      <c r="BE75" s="19">
        <f t="shared" si="1"/>
        <v>0</v>
      </c>
      <c r="BF75" s="20">
        <f t="shared" si="2"/>
        <v>0</v>
      </c>
      <c r="BG75" s="20">
        <f t="shared" si="3"/>
        <v>0</v>
      </c>
    </row>
    <row r="76" spans="1:59" ht="17.25" customHeight="1">
      <c r="A76" s="147" t="s">
        <v>59</v>
      </c>
      <c r="B76" s="147" t="s">
        <v>268</v>
      </c>
      <c r="C76" s="151" t="s">
        <v>269</v>
      </c>
      <c r="D76" s="151" t="s">
        <v>62</v>
      </c>
      <c r="E76" s="151">
        <v>28</v>
      </c>
      <c r="F76" s="149" t="s">
        <v>304</v>
      </c>
      <c r="G76" s="147" t="s">
        <v>271</v>
      </c>
      <c r="H76" s="147" t="s">
        <v>287</v>
      </c>
      <c r="I76" s="147" t="s">
        <v>296</v>
      </c>
      <c r="J76" s="164">
        <v>80111620</v>
      </c>
      <c r="K76" s="147" t="s">
        <v>289</v>
      </c>
      <c r="L76" s="147" t="s">
        <v>83</v>
      </c>
      <c r="M76" s="147" t="s">
        <v>305</v>
      </c>
      <c r="N76" s="147" t="s">
        <v>91</v>
      </c>
      <c r="O76" s="147" t="s">
        <v>91</v>
      </c>
      <c r="P76" s="147" t="s">
        <v>91</v>
      </c>
      <c r="Q76" s="147">
        <v>4</v>
      </c>
      <c r="R76" s="147" t="s">
        <v>72</v>
      </c>
      <c r="S76" s="147" t="s">
        <v>73</v>
      </c>
      <c r="T76" s="147" t="s">
        <v>74</v>
      </c>
      <c r="U76" s="148">
        <v>53699067</v>
      </c>
      <c r="V76" s="148">
        <v>53699067</v>
      </c>
      <c r="W76" s="147" t="s">
        <v>75</v>
      </c>
      <c r="X76" s="147" t="s">
        <v>67</v>
      </c>
      <c r="Y76" s="147" t="s">
        <v>278</v>
      </c>
      <c r="Z76" s="147" t="s">
        <v>279</v>
      </c>
      <c r="AA76" s="147">
        <v>6012220601</v>
      </c>
      <c r="AB76" s="160" t="s">
        <v>280</v>
      </c>
      <c r="AC76" s="14">
        <v>29991500</v>
      </c>
      <c r="AD76" s="14"/>
      <c r="AE76" s="14"/>
      <c r="AF76" s="14">
        <v>2285067</v>
      </c>
      <c r="AG76" s="14"/>
      <c r="AH76" s="14">
        <v>8569000</v>
      </c>
      <c r="AI76" s="25">
        <v>15138567</v>
      </c>
      <c r="AJ76" s="14">
        <v>8569000</v>
      </c>
      <c r="AK76" s="14"/>
      <c r="AL76" s="14">
        <v>8569000</v>
      </c>
      <c r="AM76" s="14">
        <v>8569000</v>
      </c>
      <c r="AN76" s="14">
        <v>8569000</v>
      </c>
      <c r="AO76" s="14"/>
      <c r="AP76" s="14">
        <v>8569000</v>
      </c>
      <c r="AQ76" s="14"/>
      <c r="AR76" s="14">
        <v>8569000</v>
      </c>
      <c r="AS76" s="14"/>
      <c r="AT76" s="14"/>
      <c r="AU76" s="25"/>
      <c r="AV76" s="25"/>
      <c r="AW76" s="25"/>
      <c r="AX76" s="25"/>
      <c r="AY76" s="25"/>
      <c r="AZ76" s="25"/>
      <c r="BA76" s="17"/>
      <c r="BB76" s="17"/>
      <c r="BC76" s="18">
        <f t="shared" ref="BC76:BD76" si="70">AC76+AE76+AG76+AI76+AK76+AM76+AO76+AQ76+AS76+AU76+AW76+AY76+BA76</f>
        <v>53699067</v>
      </c>
      <c r="BD76" s="18">
        <f t="shared" si="70"/>
        <v>53699067</v>
      </c>
      <c r="BE76" s="19">
        <f t="shared" si="1"/>
        <v>0</v>
      </c>
      <c r="BF76" s="20">
        <f t="shared" si="2"/>
        <v>0</v>
      </c>
      <c r="BG76" s="20">
        <f t="shared" si="3"/>
        <v>0</v>
      </c>
    </row>
    <row r="77" spans="1:59" ht="17.25" customHeight="1">
      <c r="A77" s="147" t="s">
        <v>59</v>
      </c>
      <c r="B77" s="147" t="s">
        <v>268</v>
      </c>
      <c r="C77" s="151" t="s">
        <v>269</v>
      </c>
      <c r="D77" s="151" t="s">
        <v>62</v>
      </c>
      <c r="E77" s="151">
        <v>28</v>
      </c>
      <c r="F77" s="149" t="s">
        <v>306</v>
      </c>
      <c r="G77" s="147" t="s">
        <v>271</v>
      </c>
      <c r="H77" s="147" t="s">
        <v>287</v>
      </c>
      <c r="I77" s="147" t="s">
        <v>296</v>
      </c>
      <c r="J77" s="164">
        <v>80111620</v>
      </c>
      <c r="K77" s="147" t="s">
        <v>289</v>
      </c>
      <c r="L77" s="147" t="s">
        <v>83</v>
      </c>
      <c r="M77" s="149" t="s">
        <v>307</v>
      </c>
      <c r="N77" s="147" t="s">
        <v>91</v>
      </c>
      <c r="O77" s="147" t="s">
        <v>91</v>
      </c>
      <c r="P77" s="147" t="s">
        <v>91</v>
      </c>
      <c r="Q77" s="147">
        <v>4</v>
      </c>
      <c r="R77" s="147" t="s">
        <v>72</v>
      </c>
      <c r="S77" s="147" t="s">
        <v>73</v>
      </c>
      <c r="T77" s="147" t="s">
        <v>74</v>
      </c>
      <c r="U77" s="148">
        <v>44668533</v>
      </c>
      <c r="V77" s="148">
        <v>44668533</v>
      </c>
      <c r="W77" s="147" t="s">
        <v>75</v>
      </c>
      <c r="X77" s="147" t="s">
        <v>67</v>
      </c>
      <c r="Y77" s="147" t="s">
        <v>278</v>
      </c>
      <c r="Z77" s="147" t="s">
        <v>279</v>
      </c>
      <c r="AA77" s="147">
        <v>6012220601</v>
      </c>
      <c r="AB77" s="160" t="s">
        <v>280</v>
      </c>
      <c r="AC77" s="14">
        <v>24556000</v>
      </c>
      <c r="AD77" s="14"/>
      <c r="AE77" s="14"/>
      <c r="AF77" s="14">
        <v>2572533</v>
      </c>
      <c r="AG77" s="14"/>
      <c r="AH77" s="14">
        <v>7016000</v>
      </c>
      <c r="AI77" s="25">
        <v>13096533</v>
      </c>
      <c r="AJ77" s="14">
        <v>7016000</v>
      </c>
      <c r="AK77" s="14"/>
      <c r="AL77" s="14">
        <v>7016000</v>
      </c>
      <c r="AM77" s="14">
        <v>7016000</v>
      </c>
      <c r="AN77" s="14">
        <v>7016000</v>
      </c>
      <c r="AO77" s="14"/>
      <c r="AP77" s="14">
        <v>7016000</v>
      </c>
      <c r="AQ77" s="14"/>
      <c r="AR77" s="14">
        <v>7016000</v>
      </c>
      <c r="AS77" s="14"/>
      <c r="AT77" s="14"/>
      <c r="AU77" s="25"/>
      <c r="AV77" s="25"/>
      <c r="AW77" s="25"/>
      <c r="AX77" s="25"/>
      <c r="AY77" s="25"/>
      <c r="AZ77" s="25"/>
      <c r="BA77" s="17"/>
      <c r="BB77" s="17"/>
      <c r="BC77" s="18">
        <f t="shared" ref="BC77:BD77" si="71">AC77+AE77+AG77+AI77+AK77+AM77+AO77+AQ77+AS77+AU77+AW77+AY77+BA77</f>
        <v>44668533</v>
      </c>
      <c r="BD77" s="18">
        <f t="shared" si="71"/>
        <v>44668533</v>
      </c>
      <c r="BE77" s="19">
        <f t="shared" si="1"/>
        <v>0</v>
      </c>
      <c r="BF77" s="20">
        <f t="shared" si="2"/>
        <v>0</v>
      </c>
      <c r="BG77" s="20">
        <f t="shared" si="3"/>
        <v>0</v>
      </c>
    </row>
    <row r="78" spans="1:59" ht="17.25" customHeight="1">
      <c r="A78" s="147" t="s">
        <v>59</v>
      </c>
      <c r="B78" s="147" t="s">
        <v>268</v>
      </c>
      <c r="C78" s="151" t="s">
        <v>269</v>
      </c>
      <c r="D78" s="151" t="s">
        <v>62</v>
      </c>
      <c r="E78" s="151">
        <v>28</v>
      </c>
      <c r="F78" s="149" t="s">
        <v>308</v>
      </c>
      <c r="G78" s="147" t="s">
        <v>271</v>
      </c>
      <c r="H78" s="147" t="s">
        <v>287</v>
      </c>
      <c r="I78" s="147" t="s">
        <v>296</v>
      </c>
      <c r="J78" s="164">
        <v>80111620</v>
      </c>
      <c r="K78" s="147" t="s">
        <v>289</v>
      </c>
      <c r="L78" s="147" t="s">
        <v>83</v>
      </c>
      <c r="M78" s="147" t="s">
        <v>309</v>
      </c>
      <c r="N78" s="147" t="s">
        <v>91</v>
      </c>
      <c r="O78" s="147" t="s">
        <v>91</v>
      </c>
      <c r="P78" s="147" t="s">
        <v>91</v>
      </c>
      <c r="Q78" s="147">
        <v>4</v>
      </c>
      <c r="R78" s="147" t="s">
        <v>72</v>
      </c>
      <c r="S78" s="147" t="s">
        <v>73</v>
      </c>
      <c r="T78" s="147" t="s">
        <v>74</v>
      </c>
      <c r="U78" s="148">
        <v>40191333</v>
      </c>
      <c r="V78" s="148">
        <v>40191333</v>
      </c>
      <c r="W78" s="147" t="s">
        <v>75</v>
      </c>
      <c r="X78" s="147" t="s">
        <v>67</v>
      </c>
      <c r="Y78" s="147" t="s">
        <v>278</v>
      </c>
      <c r="Z78" s="147" t="s">
        <v>279</v>
      </c>
      <c r="AA78" s="147">
        <v>6012220601</v>
      </c>
      <c r="AB78" s="160" t="s">
        <v>280</v>
      </c>
      <c r="AC78" s="14">
        <v>22211000</v>
      </c>
      <c r="AD78" s="14"/>
      <c r="AE78" s="14"/>
      <c r="AF78" s="14">
        <v>2115333</v>
      </c>
      <c r="AG78" s="14"/>
      <c r="AH78" s="14">
        <v>6346000</v>
      </c>
      <c r="AI78" s="25">
        <v>11634333</v>
      </c>
      <c r="AJ78" s="14">
        <v>6346000</v>
      </c>
      <c r="AK78" s="14"/>
      <c r="AL78" s="14">
        <v>6346000</v>
      </c>
      <c r="AM78" s="14">
        <v>6346000</v>
      </c>
      <c r="AN78" s="14">
        <v>6346000</v>
      </c>
      <c r="AO78" s="14"/>
      <c r="AP78" s="14">
        <v>6346000</v>
      </c>
      <c r="AQ78" s="14"/>
      <c r="AR78" s="14">
        <v>6346000</v>
      </c>
      <c r="AS78" s="14"/>
      <c r="AT78" s="14"/>
      <c r="AU78" s="25"/>
      <c r="AV78" s="25"/>
      <c r="AW78" s="25"/>
      <c r="AX78" s="25"/>
      <c r="AY78" s="25"/>
      <c r="AZ78" s="25"/>
      <c r="BA78" s="17"/>
      <c r="BB78" s="17"/>
      <c r="BC78" s="18">
        <f t="shared" ref="BC78:BD78" si="72">AC78+AE78+AG78+AI78+AK78+AM78+AO78+AQ78+AS78+AU78+AW78+AY78+BA78</f>
        <v>40191333</v>
      </c>
      <c r="BD78" s="18">
        <f t="shared" si="72"/>
        <v>40191333</v>
      </c>
      <c r="BE78" s="19">
        <f t="shared" si="1"/>
        <v>0</v>
      </c>
      <c r="BF78" s="20">
        <f t="shared" si="2"/>
        <v>0</v>
      </c>
      <c r="BG78" s="20">
        <f t="shared" si="3"/>
        <v>0</v>
      </c>
    </row>
    <row r="79" spans="1:59" ht="17.25" customHeight="1">
      <c r="A79" s="147" t="s">
        <v>59</v>
      </c>
      <c r="B79" s="147" t="s">
        <v>268</v>
      </c>
      <c r="C79" s="151" t="s">
        <v>269</v>
      </c>
      <c r="D79" s="151" t="s">
        <v>62</v>
      </c>
      <c r="E79" s="151">
        <v>28</v>
      </c>
      <c r="F79" s="149" t="s">
        <v>310</v>
      </c>
      <c r="G79" s="147" t="s">
        <v>271</v>
      </c>
      <c r="H79" s="147" t="s">
        <v>287</v>
      </c>
      <c r="I79" s="147" t="s">
        <v>296</v>
      </c>
      <c r="J79" s="164">
        <v>80111620</v>
      </c>
      <c r="K79" s="147" t="s">
        <v>289</v>
      </c>
      <c r="L79" s="147" t="s">
        <v>83</v>
      </c>
      <c r="M79" s="147" t="s">
        <v>311</v>
      </c>
      <c r="N79" s="147" t="s">
        <v>91</v>
      </c>
      <c r="O79" s="147" t="s">
        <v>91</v>
      </c>
      <c r="P79" s="147" t="s">
        <v>91</v>
      </c>
      <c r="Q79" s="147">
        <v>4</v>
      </c>
      <c r="R79" s="147" t="s">
        <v>72</v>
      </c>
      <c r="S79" s="147" t="s">
        <v>73</v>
      </c>
      <c r="T79" s="147" t="s">
        <v>74</v>
      </c>
      <c r="U79" s="148">
        <v>37754333</v>
      </c>
      <c r="V79" s="148">
        <v>37754333</v>
      </c>
      <c r="W79" s="147" t="s">
        <v>75</v>
      </c>
      <c r="X79" s="147" t="s">
        <v>67</v>
      </c>
      <c r="Y79" s="147" t="s">
        <v>278</v>
      </c>
      <c r="Z79" s="147" t="s">
        <v>279</v>
      </c>
      <c r="AA79" s="147">
        <v>6012220601</v>
      </c>
      <c r="AB79" s="160" t="s">
        <v>280</v>
      </c>
      <c r="AC79" s="14">
        <v>20755000</v>
      </c>
      <c r="AD79" s="14"/>
      <c r="AE79" s="14"/>
      <c r="AF79" s="14">
        <v>2174333</v>
      </c>
      <c r="AG79" s="14"/>
      <c r="AH79" s="14">
        <v>5930000</v>
      </c>
      <c r="AI79" s="25">
        <v>11069333</v>
      </c>
      <c r="AJ79" s="14">
        <v>5930000</v>
      </c>
      <c r="AK79" s="14"/>
      <c r="AL79" s="14">
        <v>5930000</v>
      </c>
      <c r="AM79" s="14">
        <v>5930000</v>
      </c>
      <c r="AN79" s="14">
        <v>5930000</v>
      </c>
      <c r="AO79" s="14"/>
      <c r="AP79" s="14">
        <v>5930000</v>
      </c>
      <c r="AQ79" s="14"/>
      <c r="AR79" s="14">
        <v>5930000</v>
      </c>
      <c r="AS79" s="14"/>
      <c r="AT79" s="14"/>
      <c r="AU79" s="25"/>
      <c r="AV79" s="25"/>
      <c r="AW79" s="25"/>
      <c r="AX79" s="25"/>
      <c r="AY79" s="25"/>
      <c r="AZ79" s="25"/>
      <c r="BA79" s="17"/>
      <c r="BB79" s="17"/>
      <c r="BC79" s="18">
        <f t="shared" ref="BC79:BD79" si="73">AC79+AE79+AG79+AI79+AK79+AM79+AO79+AQ79+AS79+AU79+AW79+AY79+BA79</f>
        <v>37754333</v>
      </c>
      <c r="BD79" s="18">
        <f t="shared" si="73"/>
        <v>37754333</v>
      </c>
      <c r="BE79" s="19">
        <f t="shared" si="1"/>
        <v>0</v>
      </c>
      <c r="BF79" s="20">
        <f t="shared" si="2"/>
        <v>0</v>
      </c>
      <c r="BG79" s="20">
        <f t="shared" si="3"/>
        <v>0</v>
      </c>
    </row>
    <row r="80" spans="1:59" ht="17.25" customHeight="1">
      <c r="A80" s="147" t="s">
        <v>59</v>
      </c>
      <c r="B80" s="147" t="s">
        <v>268</v>
      </c>
      <c r="C80" s="151" t="s">
        <v>269</v>
      </c>
      <c r="D80" s="151" t="s">
        <v>62</v>
      </c>
      <c r="E80" s="151">
        <v>28</v>
      </c>
      <c r="F80" s="149" t="s">
        <v>312</v>
      </c>
      <c r="G80" s="147" t="s">
        <v>271</v>
      </c>
      <c r="H80" s="147" t="s">
        <v>287</v>
      </c>
      <c r="I80" s="147" t="s">
        <v>296</v>
      </c>
      <c r="J80" s="164">
        <v>80111620</v>
      </c>
      <c r="K80" s="147" t="s">
        <v>289</v>
      </c>
      <c r="L80" s="147" t="s">
        <v>83</v>
      </c>
      <c r="M80" s="147" t="s">
        <v>313</v>
      </c>
      <c r="N80" s="147" t="s">
        <v>91</v>
      </c>
      <c r="O80" s="147" t="s">
        <v>91</v>
      </c>
      <c r="P80" s="147" t="s">
        <v>91</v>
      </c>
      <c r="Q80" s="147">
        <v>4</v>
      </c>
      <c r="R80" s="147" t="s">
        <v>72</v>
      </c>
      <c r="S80" s="147" t="s">
        <v>73</v>
      </c>
      <c r="T80" s="147" t="s">
        <v>74</v>
      </c>
      <c r="U80" s="148">
        <v>37754333</v>
      </c>
      <c r="V80" s="148">
        <v>37754333</v>
      </c>
      <c r="W80" s="147" t="s">
        <v>75</v>
      </c>
      <c r="X80" s="147" t="s">
        <v>67</v>
      </c>
      <c r="Y80" s="147" t="s">
        <v>278</v>
      </c>
      <c r="Z80" s="147" t="s">
        <v>279</v>
      </c>
      <c r="AA80" s="147">
        <v>6012220601</v>
      </c>
      <c r="AB80" s="160" t="s">
        <v>280</v>
      </c>
      <c r="AC80" s="14">
        <v>20755000</v>
      </c>
      <c r="AD80" s="14"/>
      <c r="AE80" s="14"/>
      <c r="AF80" s="14">
        <v>2174333</v>
      </c>
      <c r="AG80" s="14"/>
      <c r="AH80" s="14">
        <v>5930000</v>
      </c>
      <c r="AI80" s="25">
        <v>11069333</v>
      </c>
      <c r="AJ80" s="14">
        <v>5930000</v>
      </c>
      <c r="AK80" s="14"/>
      <c r="AL80" s="14">
        <v>5930000</v>
      </c>
      <c r="AM80" s="14">
        <v>5930000</v>
      </c>
      <c r="AN80" s="14">
        <v>5930000</v>
      </c>
      <c r="AO80" s="14"/>
      <c r="AP80" s="14">
        <v>5930000</v>
      </c>
      <c r="AQ80" s="14"/>
      <c r="AR80" s="14">
        <v>5930000</v>
      </c>
      <c r="AS80" s="14"/>
      <c r="AT80" s="14"/>
      <c r="AU80" s="25"/>
      <c r="AV80" s="25"/>
      <c r="AW80" s="25"/>
      <c r="AX80" s="25"/>
      <c r="AY80" s="25"/>
      <c r="AZ80" s="25"/>
      <c r="BA80" s="17"/>
      <c r="BB80" s="17"/>
      <c r="BC80" s="18">
        <f t="shared" ref="BC80:BD80" si="74">AC80+AE80+AG80+AI80+AK80+AM80+AO80+AQ80+AS80+AU80+AW80+AY80+BA80</f>
        <v>37754333</v>
      </c>
      <c r="BD80" s="18">
        <f t="shared" si="74"/>
        <v>37754333</v>
      </c>
      <c r="BE80" s="19">
        <f t="shared" si="1"/>
        <v>0</v>
      </c>
      <c r="BF80" s="20">
        <f t="shared" si="2"/>
        <v>0</v>
      </c>
      <c r="BG80" s="20">
        <f t="shared" si="3"/>
        <v>0</v>
      </c>
    </row>
    <row r="81" spans="1:59" ht="17.25" customHeight="1">
      <c r="A81" s="147" t="s">
        <v>59</v>
      </c>
      <c r="B81" s="147" t="s">
        <v>268</v>
      </c>
      <c r="C81" s="151" t="s">
        <v>269</v>
      </c>
      <c r="D81" s="151" t="s">
        <v>62</v>
      </c>
      <c r="E81" s="151">
        <v>28</v>
      </c>
      <c r="F81" s="149" t="s">
        <v>314</v>
      </c>
      <c r="G81" s="147" t="s">
        <v>271</v>
      </c>
      <c r="H81" s="147" t="s">
        <v>287</v>
      </c>
      <c r="I81" s="147" t="s">
        <v>296</v>
      </c>
      <c r="J81" s="164">
        <v>80111620</v>
      </c>
      <c r="K81" s="147" t="s">
        <v>289</v>
      </c>
      <c r="L81" s="147" t="s">
        <v>83</v>
      </c>
      <c r="M81" s="147" t="s">
        <v>315</v>
      </c>
      <c r="N81" s="147" t="s">
        <v>91</v>
      </c>
      <c r="O81" s="147" t="s">
        <v>91</v>
      </c>
      <c r="P81" s="147" t="s">
        <v>85</v>
      </c>
      <c r="Q81" s="147">
        <v>4</v>
      </c>
      <c r="R81" s="147" t="s">
        <v>72</v>
      </c>
      <c r="S81" s="147" t="s">
        <v>73</v>
      </c>
      <c r="T81" s="147" t="s">
        <v>74</v>
      </c>
      <c r="U81" s="148">
        <v>36370667</v>
      </c>
      <c r="V81" s="148">
        <v>36370667</v>
      </c>
      <c r="W81" s="147" t="s">
        <v>75</v>
      </c>
      <c r="X81" s="147" t="s">
        <v>67</v>
      </c>
      <c r="Y81" s="147" t="s">
        <v>278</v>
      </c>
      <c r="Z81" s="147" t="s">
        <v>279</v>
      </c>
      <c r="AA81" s="147">
        <v>6012220601</v>
      </c>
      <c r="AB81" s="160" t="s">
        <v>280</v>
      </c>
      <c r="AC81" s="14">
        <v>20755000</v>
      </c>
      <c r="AD81" s="14"/>
      <c r="AE81" s="14"/>
      <c r="AF81" s="14">
        <v>790667</v>
      </c>
      <c r="AG81" s="14"/>
      <c r="AH81" s="14">
        <v>5930000</v>
      </c>
      <c r="AI81" s="25">
        <v>9685667</v>
      </c>
      <c r="AJ81" s="14">
        <v>5930000</v>
      </c>
      <c r="AK81" s="14"/>
      <c r="AL81" s="14">
        <v>5930000</v>
      </c>
      <c r="AM81" s="14">
        <v>5930000</v>
      </c>
      <c r="AN81" s="14">
        <v>5930000</v>
      </c>
      <c r="AO81" s="14"/>
      <c r="AP81" s="14">
        <v>5930000</v>
      </c>
      <c r="AQ81" s="14"/>
      <c r="AR81" s="14">
        <v>5930000</v>
      </c>
      <c r="AS81" s="14"/>
      <c r="AT81" s="14"/>
      <c r="AU81" s="25"/>
      <c r="AV81" s="25"/>
      <c r="AW81" s="25"/>
      <c r="AX81" s="25"/>
      <c r="AY81" s="25"/>
      <c r="AZ81" s="25"/>
      <c r="BA81" s="17"/>
      <c r="BB81" s="17"/>
      <c r="BC81" s="18">
        <f t="shared" ref="BC81:BD81" si="75">AC81+AE81+AG81+AI81+AK81+AM81+AO81+AQ81+AS81+AU81+AW81+AY81+BA81</f>
        <v>36370667</v>
      </c>
      <c r="BD81" s="18">
        <f t="shared" si="75"/>
        <v>36370667</v>
      </c>
      <c r="BE81" s="19">
        <f t="shared" si="1"/>
        <v>0</v>
      </c>
      <c r="BF81" s="20">
        <f t="shared" si="2"/>
        <v>0</v>
      </c>
      <c r="BG81" s="20">
        <f t="shared" si="3"/>
        <v>0</v>
      </c>
    </row>
    <row r="82" spans="1:59" ht="17.25" customHeight="1">
      <c r="A82" s="147" t="s">
        <v>59</v>
      </c>
      <c r="B82" s="147" t="s">
        <v>268</v>
      </c>
      <c r="C82" s="151" t="s">
        <v>269</v>
      </c>
      <c r="D82" s="151" t="s">
        <v>62</v>
      </c>
      <c r="E82" s="151">
        <v>28</v>
      </c>
      <c r="F82" s="149" t="s">
        <v>316</v>
      </c>
      <c r="G82" s="147" t="s">
        <v>271</v>
      </c>
      <c r="H82" s="147" t="s">
        <v>287</v>
      </c>
      <c r="I82" s="147" t="s">
        <v>296</v>
      </c>
      <c r="J82" s="164">
        <v>80111620</v>
      </c>
      <c r="K82" s="147" t="s">
        <v>289</v>
      </c>
      <c r="L82" s="147" t="s">
        <v>83</v>
      </c>
      <c r="M82" s="147" t="s">
        <v>317</v>
      </c>
      <c r="N82" s="147" t="s">
        <v>91</v>
      </c>
      <c r="O82" s="147" t="s">
        <v>91</v>
      </c>
      <c r="P82" s="147" t="s">
        <v>85</v>
      </c>
      <c r="Q82" s="147">
        <v>4</v>
      </c>
      <c r="R82" s="147" t="s">
        <v>72</v>
      </c>
      <c r="S82" s="147" t="s">
        <v>73</v>
      </c>
      <c r="T82" s="147" t="s">
        <v>74</v>
      </c>
      <c r="U82" s="148">
        <v>33567733</v>
      </c>
      <c r="V82" s="148">
        <v>33567733</v>
      </c>
      <c r="W82" s="147" t="s">
        <v>75</v>
      </c>
      <c r="X82" s="147" t="s">
        <v>67</v>
      </c>
      <c r="Y82" s="147" t="s">
        <v>278</v>
      </c>
      <c r="Z82" s="147" t="s">
        <v>279</v>
      </c>
      <c r="AA82" s="147">
        <v>6012220601</v>
      </c>
      <c r="AB82" s="160" t="s">
        <v>280</v>
      </c>
      <c r="AC82" s="14">
        <v>19155500</v>
      </c>
      <c r="AD82" s="14"/>
      <c r="AE82" s="14"/>
      <c r="AF82" s="14">
        <v>729733</v>
      </c>
      <c r="AG82" s="14"/>
      <c r="AH82" s="14">
        <v>5473000</v>
      </c>
      <c r="AI82" s="25">
        <v>8939233</v>
      </c>
      <c r="AJ82" s="14">
        <v>5473000</v>
      </c>
      <c r="AK82" s="14"/>
      <c r="AL82" s="14">
        <v>5473000</v>
      </c>
      <c r="AM82" s="14">
        <v>5473000</v>
      </c>
      <c r="AN82" s="14">
        <v>5473000</v>
      </c>
      <c r="AO82" s="14"/>
      <c r="AP82" s="14">
        <v>5473000</v>
      </c>
      <c r="AQ82" s="14"/>
      <c r="AR82" s="14">
        <v>5473000</v>
      </c>
      <c r="AS82" s="14"/>
      <c r="AT82" s="14"/>
      <c r="AU82" s="25"/>
      <c r="AV82" s="25"/>
      <c r="AW82" s="25"/>
      <c r="AX82" s="25"/>
      <c r="AY82" s="25"/>
      <c r="AZ82" s="25"/>
      <c r="BA82" s="17"/>
      <c r="BB82" s="17"/>
      <c r="BC82" s="18">
        <f t="shared" ref="BC82:BD82" si="76">AC82+AE82+AG82+AI82+AK82+AM82+AO82+AQ82+AS82+AU82+AW82+AY82+BA82</f>
        <v>33567733</v>
      </c>
      <c r="BD82" s="18">
        <f t="shared" si="76"/>
        <v>33567733</v>
      </c>
      <c r="BE82" s="19">
        <f t="shared" si="1"/>
        <v>0</v>
      </c>
      <c r="BF82" s="20">
        <f t="shared" si="2"/>
        <v>0</v>
      </c>
      <c r="BG82" s="20">
        <f t="shared" si="3"/>
        <v>0</v>
      </c>
    </row>
    <row r="83" spans="1:59" ht="17.25" customHeight="1">
      <c r="A83" s="147" t="s">
        <v>59</v>
      </c>
      <c r="B83" s="147" t="s">
        <v>268</v>
      </c>
      <c r="C83" s="151" t="s">
        <v>269</v>
      </c>
      <c r="D83" s="151" t="s">
        <v>62</v>
      </c>
      <c r="E83" s="151">
        <v>32</v>
      </c>
      <c r="F83" s="149" t="s">
        <v>318</v>
      </c>
      <c r="G83" s="147" t="s">
        <v>271</v>
      </c>
      <c r="H83" s="147" t="s">
        <v>287</v>
      </c>
      <c r="I83" s="147" t="s">
        <v>296</v>
      </c>
      <c r="J83" s="164">
        <v>80111620</v>
      </c>
      <c r="K83" s="147" t="s">
        <v>289</v>
      </c>
      <c r="L83" s="147" t="s">
        <v>83</v>
      </c>
      <c r="M83" s="147" t="s">
        <v>319</v>
      </c>
      <c r="N83" s="147" t="s">
        <v>91</v>
      </c>
      <c r="O83" s="147" t="s">
        <v>91</v>
      </c>
      <c r="P83" s="147" t="s">
        <v>85</v>
      </c>
      <c r="Q83" s="147">
        <v>4</v>
      </c>
      <c r="R83" s="147" t="s">
        <v>72</v>
      </c>
      <c r="S83" s="147" t="s">
        <v>73</v>
      </c>
      <c r="T83" s="147" t="s">
        <v>74</v>
      </c>
      <c r="U83" s="148">
        <v>16966300</v>
      </c>
      <c r="V83" s="148">
        <v>16966300</v>
      </c>
      <c r="W83" s="147" t="s">
        <v>75</v>
      </c>
      <c r="X83" s="147" t="s">
        <v>67</v>
      </c>
      <c r="Y83" s="147" t="s">
        <v>278</v>
      </c>
      <c r="Z83" s="147" t="s">
        <v>279</v>
      </c>
      <c r="AA83" s="147">
        <v>6012220601</v>
      </c>
      <c r="AB83" s="160" t="s">
        <v>280</v>
      </c>
      <c r="AC83" s="14">
        <v>19155500</v>
      </c>
      <c r="AD83" s="14"/>
      <c r="AE83" s="14"/>
      <c r="AF83" s="14">
        <v>547300</v>
      </c>
      <c r="AG83" s="14"/>
      <c r="AH83" s="14">
        <v>5473000</v>
      </c>
      <c r="AI83" s="25"/>
      <c r="AJ83" s="14">
        <v>5473000</v>
      </c>
      <c r="AK83" s="43">
        <v>-2189200</v>
      </c>
      <c r="AL83" s="14">
        <v>5473000</v>
      </c>
      <c r="AM83" s="14"/>
      <c r="AN83" s="14"/>
      <c r="AO83" s="14"/>
      <c r="AP83" s="14"/>
      <c r="AQ83" s="14"/>
      <c r="AR83" s="14"/>
      <c r="AS83" s="14"/>
      <c r="AT83" s="14"/>
      <c r="AU83" s="25"/>
      <c r="AV83" s="25"/>
      <c r="AW83" s="25"/>
      <c r="AX83" s="25"/>
      <c r="AY83" s="25"/>
      <c r="AZ83" s="25"/>
      <c r="BA83" s="17"/>
      <c r="BB83" s="17"/>
      <c r="BC83" s="18">
        <f t="shared" ref="BC83:BD83" si="77">AC83+AE83+AG83+AI83+AK83+AM83+AO83+AQ83+AS83+AU83+AW83+AY83+BA83</f>
        <v>16966300</v>
      </c>
      <c r="BD83" s="18">
        <f t="shared" si="77"/>
        <v>16966300</v>
      </c>
      <c r="BE83" s="19">
        <f t="shared" si="1"/>
        <v>0</v>
      </c>
      <c r="BF83" s="20">
        <f t="shared" si="2"/>
        <v>0</v>
      </c>
      <c r="BG83" s="20">
        <f t="shared" si="3"/>
        <v>0</v>
      </c>
    </row>
    <row r="84" spans="1:59" ht="17.25" customHeight="1">
      <c r="A84" s="147" t="s">
        <v>59</v>
      </c>
      <c r="B84" s="147" t="s">
        <v>268</v>
      </c>
      <c r="C84" s="151" t="s">
        <v>269</v>
      </c>
      <c r="D84" s="151" t="s">
        <v>62</v>
      </c>
      <c r="E84" s="151">
        <v>28</v>
      </c>
      <c r="F84" s="149" t="s">
        <v>320</v>
      </c>
      <c r="G84" s="147" t="s">
        <v>271</v>
      </c>
      <c r="H84" s="147" t="s">
        <v>287</v>
      </c>
      <c r="I84" s="147" t="s">
        <v>296</v>
      </c>
      <c r="J84" s="164">
        <v>80111620</v>
      </c>
      <c r="K84" s="147" t="s">
        <v>289</v>
      </c>
      <c r="L84" s="147" t="s">
        <v>83</v>
      </c>
      <c r="M84" s="147" t="s">
        <v>321</v>
      </c>
      <c r="N84" s="147" t="s">
        <v>91</v>
      </c>
      <c r="O84" s="147" t="s">
        <v>91</v>
      </c>
      <c r="P84" s="147" t="s">
        <v>91</v>
      </c>
      <c r="Q84" s="147">
        <v>4</v>
      </c>
      <c r="R84" s="147" t="s">
        <v>72</v>
      </c>
      <c r="S84" s="147" t="s">
        <v>73</v>
      </c>
      <c r="T84" s="147" t="s">
        <v>74</v>
      </c>
      <c r="U84" s="148">
        <v>25229600</v>
      </c>
      <c r="V84" s="148">
        <v>25229600</v>
      </c>
      <c r="W84" s="147" t="s">
        <v>75</v>
      </c>
      <c r="X84" s="147" t="s">
        <v>67</v>
      </c>
      <c r="Y84" s="147" t="s">
        <v>278</v>
      </c>
      <c r="Z84" s="147" t="s">
        <v>279</v>
      </c>
      <c r="AA84" s="147">
        <v>6012220601</v>
      </c>
      <c r="AB84" s="160" t="s">
        <v>280</v>
      </c>
      <c r="AC84" s="14">
        <v>14091000</v>
      </c>
      <c r="AD84" s="14"/>
      <c r="AE84" s="14"/>
      <c r="AF84" s="14">
        <v>1073600</v>
      </c>
      <c r="AG84" s="14"/>
      <c r="AH84" s="14">
        <v>4026000</v>
      </c>
      <c r="AI84" s="25">
        <v>7112600</v>
      </c>
      <c r="AJ84" s="14">
        <v>4026000</v>
      </c>
      <c r="AK84" s="14"/>
      <c r="AL84" s="14">
        <v>4026000</v>
      </c>
      <c r="AM84" s="14">
        <v>4026000</v>
      </c>
      <c r="AN84" s="14">
        <v>4026000</v>
      </c>
      <c r="AO84" s="14"/>
      <c r="AP84" s="14">
        <v>4026000</v>
      </c>
      <c r="AQ84" s="14"/>
      <c r="AR84" s="14">
        <v>4026000</v>
      </c>
      <c r="AS84" s="14"/>
      <c r="AT84" s="14"/>
      <c r="AU84" s="25"/>
      <c r="AV84" s="25"/>
      <c r="AW84" s="25"/>
      <c r="AX84" s="25"/>
      <c r="AY84" s="25"/>
      <c r="AZ84" s="25"/>
      <c r="BA84" s="17"/>
      <c r="BB84" s="17"/>
      <c r="BC84" s="18">
        <f t="shared" ref="BC84:BD84" si="78">AC84+AE84+AG84+AI84+AK84+AM84+AO84+AQ84+AS84+AU84+AW84+AY84+BA84</f>
        <v>25229600</v>
      </c>
      <c r="BD84" s="18">
        <f t="shared" si="78"/>
        <v>25229600</v>
      </c>
      <c r="BE84" s="19">
        <f t="shared" si="1"/>
        <v>0</v>
      </c>
      <c r="BF84" s="20">
        <f t="shared" si="2"/>
        <v>0</v>
      </c>
      <c r="BG84" s="20">
        <f t="shared" si="3"/>
        <v>0</v>
      </c>
    </row>
    <row r="85" spans="1:59" ht="17.25" customHeight="1">
      <c r="A85" s="147" t="s">
        <v>59</v>
      </c>
      <c r="B85" s="147" t="s">
        <v>268</v>
      </c>
      <c r="C85" s="151" t="s">
        <v>269</v>
      </c>
      <c r="D85" s="151" t="s">
        <v>62</v>
      </c>
      <c r="E85" s="151">
        <v>24</v>
      </c>
      <c r="F85" s="149" t="s">
        <v>322</v>
      </c>
      <c r="G85" s="147" t="s">
        <v>271</v>
      </c>
      <c r="H85" s="147" t="s">
        <v>287</v>
      </c>
      <c r="I85" s="147" t="s">
        <v>296</v>
      </c>
      <c r="J85" s="164">
        <v>80111620</v>
      </c>
      <c r="K85" s="147" t="s">
        <v>289</v>
      </c>
      <c r="L85" s="147" t="s">
        <v>83</v>
      </c>
      <c r="M85" s="147" t="s">
        <v>323</v>
      </c>
      <c r="N85" s="147" t="s">
        <v>71</v>
      </c>
      <c r="O85" s="147" t="s">
        <v>71</v>
      </c>
      <c r="P85" s="147" t="s">
        <v>71</v>
      </c>
      <c r="Q85" s="147">
        <v>4</v>
      </c>
      <c r="R85" s="147" t="s">
        <v>72</v>
      </c>
      <c r="S85" s="147" t="s">
        <v>73</v>
      </c>
      <c r="T85" s="147" t="s">
        <v>74</v>
      </c>
      <c r="U85" s="148">
        <v>36201325</v>
      </c>
      <c r="V85" s="148">
        <v>36201325</v>
      </c>
      <c r="W85" s="147" t="s">
        <v>75</v>
      </c>
      <c r="X85" s="147" t="s">
        <v>67</v>
      </c>
      <c r="Y85" s="147" t="s">
        <v>278</v>
      </c>
      <c r="Z85" s="147" t="s">
        <v>279</v>
      </c>
      <c r="AA85" s="147">
        <v>6012220601</v>
      </c>
      <c r="AB85" s="160" t="s">
        <v>280</v>
      </c>
      <c r="AC85" s="14"/>
      <c r="AD85" s="14"/>
      <c r="AE85" s="14"/>
      <c r="AF85" s="14"/>
      <c r="AG85" s="14"/>
      <c r="AH85" s="14"/>
      <c r="AI85" s="25"/>
      <c r="AJ85" s="14"/>
      <c r="AK85" s="14">
        <v>36201325</v>
      </c>
      <c r="AL85" s="14"/>
      <c r="AM85" s="14"/>
      <c r="AN85" s="14"/>
      <c r="AO85" s="14"/>
      <c r="AP85" s="14">
        <v>949351</v>
      </c>
      <c r="AQ85" s="14"/>
      <c r="AR85" s="14">
        <v>9493510</v>
      </c>
      <c r="AS85" s="14"/>
      <c r="AT85" s="14">
        <f>9493510+ 9493510</f>
        <v>18987020</v>
      </c>
      <c r="AU85" s="25"/>
      <c r="AV85" s="28">
        <f>9493510-2722066</f>
        <v>6771444</v>
      </c>
      <c r="AW85" s="25"/>
      <c r="AX85" s="28"/>
      <c r="AY85" s="25"/>
      <c r="AZ85" s="44"/>
      <c r="BA85" s="17"/>
      <c r="BB85" s="17"/>
      <c r="BC85" s="18">
        <f t="shared" ref="BC85:BD85" si="79">AC85+AE85+AG85+AI85+AK85+AM85+AO85+AQ85+AS85+AU85+AW85+AY85+BA85</f>
        <v>36201325</v>
      </c>
      <c r="BD85" s="18">
        <f t="shared" si="79"/>
        <v>36201325</v>
      </c>
      <c r="BE85" s="19">
        <f t="shared" si="1"/>
        <v>0</v>
      </c>
      <c r="BF85" s="20">
        <f t="shared" si="2"/>
        <v>0</v>
      </c>
      <c r="BG85" s="20">
        <f t="shared" si="3"/>
        <v>0</v>
      </c>
    </row>
    <row r="86" spans="1:59" ht="14.25" customHeight="1">
      <c r="A86" s="147" t="s">
        <v>59</v>
      </c>
      <c r="B86" s="147" t="s">
        <v>268</v>
      </c>
      <c r="C86" s="151" t="s">
        <v>269</v>
      </c>
      <c r="D86" s="151" t="s">
        <v>62</v>
      </c>
      <c r="E86" s="151">
        <v>44</v>
      </c>
      <c r="F86" s="149" t="s">
        <v>324</v>
      </c>
      <c r="G86" s="147" t="s">
        <v>271</v>
      </c>
      <c r="H86" s="147" t="s">
        <v>287</v>
      </c>
      <c r="I86" s="147" t="s">
        <v>296</v>
      </c>
      <c r="J86" s="164" t="s">
        <v>67</v>
      </c>
      <c r="K86" s="147" t="s">
        <v>289</v>
      </c>
      <c r="L86" s="147" t="s">
        <v>69</v>
      </c>
      <c r="M86" s="149" t="s">
        <v>325</v>
      </c>
      <c r="N86" s="147" t="s">
        <v>99</v>
      </c>
      <c r="O86" s="147" t="s">
        <v>99</v>
      </c>
      <c r="P86" s="147" t="s">
        <v>100</v>
      </c>
      <c r="Q86" s="147">
        <v>8</v>
      </c>
      <c r="R86" s="147" t="s">
        <v>72</v>
      </c>
      <c r="S86" s="147" t="s">
        <v>73</v>
      </c>
      <c r="T86" s="147" t="s">
        <v>74</v>
      </c>
      <c r="U86" s="148">
        <v>301556073</v>
      </c>
      <c r="V86" s="148">
        <v>301556073</v>
      </c>
      <c r="W86" s="147" t="s">
        <v>75</v>
      </c>
      <c r="X86" s="147" t="s">
        <v>67</v>
      </c>
      <c r="Y86" s="147" t="s">
        <v>278</v>
      </c>
      <c r="Z86" s="147" t="s">
        <v>279</v>
      </c>
      <c r="AA86" s="147">
        <v>6012220601</v>
      </c>
      <c r="AB86" s="160" t="s">
        <v>280</v>
      </c>
      <c r="AC86" s="14"/>
      <c r="AD86" s="14"/>
      <c r="AE86" s="14"/>
      <c r="AF86" s="14"/>
      <c r="AG86" s="14"/>
      <c r="AH86" s="14"/>
      <c r="AI86" s="25"/>
      <c r="AJ86" s="14"/>
      <c r="AK86" s="14"/>
      <c r="AL86" s="14"/>
      <c r="AM86" s="14"/>
      <c r="AN86" s="14"/>
      <c r="AO86" s="14"/>
      <c r="AP86" s="14"/>
      <c r="AQ86" s="14"/>
      <c r="AR86" s="14"/>
      <c r="AS86" s="14"/>
      <c r="AT86" s="14"/>
      <c r="AU86" s="45"/>
      <c r="AV86" s="25"/>
      <c r="AW86" s="45">
        <v>301556073</v>
      </c>
      <c r="AX86" s="25">
        <v>74588541</v>
      </c>
      <c r="AY86" s="25"/>
      <c r="AZ86" s="25">
        <f>152378991+74588541</f>
        <v>226967532</v>
      </c>
      <c r="BA86" s="17"/>
      <c r="BB86" s="17"/>
      <c r="BC86" s="18">
        <f t="shared" ref="BC86:BD86" si="80">AC86+AE86+AG86+AI86+AK86+AM86+AO86+AQ86+AS86+AU86+AW86+AY86+BA86</f>
        <v>301556073</v>
      </c>
      <c r="BD86" s="18">
        <f t="shared" si="80"/>
        <v>301556073</v>
      </c>
      <c r="BE86" s="19">
        <f t="shared" si="1"/>
        <v>0</v>
      </c>
      <c r="BF86" s="20">
        <f t="shared" si="2"/>
        <v>0</v>
      </c>
      <c r="BG86" s="20">
        <f t="shared" si="3"/>
        <v>0</v>
      </c>
    </row>
    <row r="87" spans="1:59" ht="14.25" customHeight="1">
      <c r="A87" s="147" t="s">
        <v>59</v>
      </c>
      <c r="B87" s="147" t="s">
        <v>268</v>
      </c>
      <c r="C87" s="151" t="s">
        <v>269</v>
      </c>
      <c r="D87" s="151" t="s">
        <v>62</v>
      </c>
      <c r="E87" s="151">
        <v>32</v>
      </c>
      <c r="F87" s="149" t="s">
        <v>326</v>
      </c>
      <c r="G87" s="147" t="s">
        <v>271</v>
      </c>
      <c r="H87" s="147" t="s">
        <v>287</v>
      </c>
      <c r="I87" s="147" t="s">
        <v>296</v>
      </c>
      <c r="J87" s="164">
        <v>80131500</v>
      </c>
      <c r="K87" s="147" t="s">
        <v>289</v>
      </c>
      <c r="L87" s="147" t="s">
        <v>97</v>
      </c>
      <c r="M87" s="147" t="s">
        <v>327</v>
      </c>
      <c r="N87" s="147" t="s">
        <v>99</v>
      </c>
      <c r="O87" s="147" t="s">
        <v>99</v>
      </c>
      <c r="P87" s="147" t="s">
        <v>100</v>
      </c>
      <c r="Q87" s="147">
        <v>8</v>
      </c>
      <c r="R87" s="147" t="s">
        <v>72</v>
      </c>
      <c r="S87" s="168" t="s">
        <v>101</v>
      </c>
      <c r="T87" s="147" t="s">
        <v>74</v>
      </c>
      <c r="U87" s="148">
        <v>72292500</v>
      </c>
      <c r="V87" s="148">
        <v>72292500</v>
      </c>
      <c r="W87" s="147" t="s">
        <v>75</v>
      </c>
      <c r="X87" s="147" t="s">
        <v>67</v>
      </c>
      <c r="Y87" s="147" t="s">
        <v>278</v>
      </c>
      <c r="Z87" s="147" t="s">
        <v>279</v>
      </c>
      <c r="AA87" s="147">
        <v>6012220601</v>
      </c>
      <c r="AB87" s="160" t="s">
        <v>280</v>
      </c>
      <c r="AC87" s="10"/>
      <c r="AD87" s="10"/>
      <c r="AE87" s="10"/>
      <c r="AF87" s="10"/>
      <c r="AG87" s="10"/>
      <c r="AH87" s="10"/>
      <c r="AI87" s="46"/>
      <c r="AJ87" s="10"/>
      <c r="AK87" s="10"/>
      <c r="AL87" s="10"/>
      <c r="AM87" s="10"/>
      <c r="AN87" s="10"/>
      <c r="AO87" s="10"/>
      <c r="AP87" s="10"/>
      <c r="AQ87" s="10"/>
      <c r="AR87" s="10"/>
      <c r="AS87" s="10"/>
      <c r="AT87" s="10"/>
      <c r="AU87" s="47"/>
      <c r="AV87" s="48"/>
      <c r="AW87" s="47">
        <v>46042500</v>
      </c>
      <c r="AX87" s="48">
        <f>7500000+(46042500/3)</f>
        <v>22847500</v>
      </c>
      <c r="AY87" s="48"/>
      <c r="AZ87" s="48">
        <f>(7500000*2)+(46042500/3*2)+3750000</f>
        <v>49445000</v>
      </c>
      <c r="BA87" s="33">
        <v>26250000</v>
      </c>
      <c r="BB87" s="17"/>
      <c r="BC87" s="18">
        <f t="shared" ref="BC87:BD87" si="81">AC87+AE87+AG87+AI87+AK87+AM87+AO87+AQ87+AS87+AU87+AW87+AY87+BA87</f>
        <v>72292500</v>
      </c>
      <c r="BD87" s="18">
        <f t="shared" si="81"/>
        <v>72292500</v>
      </c>
      <c r="BE87" s="19">
        <f t="shared" si="1"/>
        <v>0</v>
      </c>
      <c r="BF87" s="20">
        <f t="shared" si="2"/>
        <v>0</v>
      </c>
      <c r="BG87" s="20">
        <f t="shared" si="3"/>
        <v>0</v>
      </c>
    </row>
    <row r="88" spans="1:59" ht="14.25" customHeight="1">
      <c r="A88" s="147" t="s">
        <v>59</v>
      </c>
      <c r="B88" s="147" t="s">
        <v>268</v>
      </c>
      <c r="C88" s="151" t="s">
        <v>269</v>
      </c>
      <c r="D88" s="151" t="s">
        <v>62</v>
      </c>
      <c r="E88" s="151">
        <v>29</v>
      </c>
      <c r="F88" s="149" t="s">
        <v>328</v>
      </c>
      <c r="G88" s="147" t="s">
        <v>271</v>
      </c>
      <c r="H88" s="147" t="s">
        <v>287</v>
      </c>
      <c r="I88" s="147" t="s">
        <v>288</v>
      </c>
      <c r="J88" s="164">
        <v>80111620</v>
      </c>
      <c r="K88" s="147" t="s">
        <v>289</v>
      </c>
      <c r="L88" s="147" t="s">
        <v>83</v>
      </c>
      <c r="M88" s="147" t="s">
        <v>329</v>
      </c>
      <c r="N88" s="147" t="s">
        <v>91</v>
      </c>
      <c r="O88" s="147" t="s">
        <v>91</v>
      </c>
      <c r="P88" s="147" t="s">
        <v>85</v>
      </c>
      <c r="Q88" s="147">
        <v>11</v>
      </c>
      <c r="R88" s="147" t="s">
        <v>72</v>
      </c>
      <c r="S88" s="147" t="s">
        <v>252</v>
      </c>
      <c r="T88" s="147" t="s">
        <v>74</v>
      </c>
      <c r="U88" s="148">
        <v>23585520</v>
      </c>
      <c r="V88" s="148">
        <v>23585520</v>
      </c>
      <c r="W88" s="147" t="s">
        <v>75</v>
      </c>
      <c r="X88" s="147" t="s">
        <v>67</v>
      </c>
      <c r="Y88" s="147" t="s">
        <v>278</v>
      </c>
      <c r="Z88" s="147" t="s">
        <v>279</v>
      </c>
      <c r="AA88" s="147">
        <v>6012220601</v>
      </c>
      <c r="AB88" s="160" t="s">
        <v>280</v>
      </c>
      <c r="AC88" s="14"/>
      <c r="AD88" s="14"/>
      <c r="AE88" s="14">
        <v>23974720</v>
      </c>
      <c r="AF88" s="14"/>
      <c r="AG88" s="14"/>
      <c r="AH88" s="14">
        <v>233520</v>
      </c>
      <c r="AI88" s="15">
        <v>-389200</v>
      </c>
      <c r="AJ88" s="14">
        <v>2335200</v>
      </c>
      <c r="AK88" s="14"/>
      <c r="AL88" s="14">
        <v>2335200</v>
      </c>
      <c r="AM88" s="14"/>
      <c r="AN88" s="14">
        <v>2335200</v>
      </c>
      <c r="AO88" s="14"/>
      <c r="AP88" s="14">
        <v>2335200</v>
      </c>
      <c r="AQ88" s="14"/>
      <c r="AR88" s="14">
        <v>2335200</v>
      </c>
      <c r="AS88" s="14"/>
      <c r="AT88" s="14">
        <v>2335200</v>
      </c>
      <c r="AU88" s="15"/>
      <c r="AV88" s="15">
        <v>2335200</v>
      </c>
      <c r="AW88" s="15"/>
      <c r="AX88" s="15">
        <v>2335200</v>
      </c>
      <c r="AY88" s="15"/>
      <c r="AZ88" s="15">
        <v>4670400</v>
      </c>
      <c r="BA88" s="17"/>
      <c r="BB88" s="17"/>
      <c r="BC88" s="18">
        <f t="shared" ref="BC88:BD88" si="82">AC88+AE88+AG88+AI88+AK88+AM88+AO88+AQ88+AS88+AU88+AW88+AY88+BA88</f>
        <v>23585520</v>
      </c>
      <c r="BD88" s="18">
        <f t="shared" si="82"/>
        <v>23585520</v>
      </c>
      <c r="BE88" s="19">
        <f t="shared" si="1"/>
        <v>0</v>
      </c>
      <c r="BF88" s="20">
        <f t="shared" si="2"/>
        <v>0</v>
      </c>
      <c r="BG88" s="20">
        <f t="shared" si="3"/>
        <v>0</v>
      </c>
    </row>
    <row r="89" spans="1:59" ht="14.25" customHeight="1">
      <c r="A89" s="147" t="s">
        <v>59</v>
      </c>
      <c r="B89" s="147" t="s">
        <v>268</v>
      </c>
      <c r="C89" s="151" t="s">
        <v>269</v>
      </c>
      <c r="D89" s="151" t="s">
        <v>62</v>
      </c>
      <c r="E89" s="151">
        <v>7</v>
      </c>
      <c r="F89" s="149" t="s">
        <v>330</v>
      </c>
      <c r="G89" s="147" t="s">
        <v>271</v>
      </c>
      <c r="H89" s="147" t="s">
        <v>287</v>
      </c>
      <c r="I89" s="147" t="s">
        <v>288</v>
      </c>
      <c r="J89" s="164">
        <v>80111620</v>
      </c>
      <c r="K89" s="147" t="s">
        <v>289</v>
      </c>
      <c r="L89" s="147" t="s">
        <v>83</v>
      </c>
      <c r="M89" s="147" t="s">
        <v>331</v>
      </c>
      <c r="N89" s="147" t="s">
        <v>86</v>
      </c>
      <c r="O89" s="147" t="s">
        <v>86</v>
      </c>
      <c r="P89" s="147" t="s">
        <v>86</v>
      </c>
      <c r="Q89" s="147">
        <v>10</v>
      </c>
      <c r="R89" s="147" t="s">
        <v>72</v>
      </c>
      <c r="S89" s="147" t="s">
        <v>252</v>
      </c>
      <c r="T89" s="147" t="s">
        <v>74</v>
      </c>
      <c r="U89" s="175">
        <v>3675000</v>
      </c>
      <c r="V89" s="175">
        <v>3675000</v>
      </c>
      <c r="W89" s="147" t="s">
        <v>75</v>
      </c>
      <c r="X89" s="147" t="s">
        <v>67</v>
      </c>
      <c r="Y89" s="147" t="s">
        <v>278</v>
      </c>
      <c r="Z89" s="147" t="s">
        <v>279</v>
      </c>
      <c r="AA89" s="147">
        <v>6012220601</v>
      </c>
      <c r="AB89" s="160" t="s">
        <v>280</v>
      </c>
      <c r="AC89" s="14"/>
      <c r="AD89" s="14"/>
      <c r="AE89" s="14"/>
      <c r="AF89" s="14"/>
      <c r="AG89" s="14">
        <v>3675000</v>
      </c>
      <c r="AH89" s="14"/>
      <c r="AI89" s="15"/>
      <c r="AJ89" s="14">
        <v>3675000</v>
      </c>
      <c r="AK89" s="14"/>
      <c r="AL89" s="14"/>
      <c r="AM89" s="14"/>
      <c r="AN89" s="14"/>
      <c r="AO89" s="14"/>
      <c r="AP89" s="14"/>
      <c r="AQ89" s="14"/>
      <c r="AR89" s="14"/>
      <c r="AS89" s="14"/>
      <c r="AT89" s="14"/>
      <c r="AU89" s="15"/>
      <c r="AV89" s="15"/>
      <c r="AW89" s="15"/>
      <c r="AX89" s="15"/>
      <c r="AY89" s="15"/>
      <c r="AZ89" s="15"/>
      <c r="BA89" s="17"/>
      <c r="BB89" s="17"/>
      <c r="BC89" s="18">
        <f t="shared" ref="BC89:BD89" si="83">AC89+AE89+AG89+AI89+AK89+AM89+AO89+AQ89+AS89+AU89+AW89+AY89+BA89</f>
        <v>3675000</v>
      </c>
      <c r="BD89" s="18">
        <f t="shared" si="83"/>
        <v>3675000</v>
      </c>
      <c r="BE89" s="19">
        <f t="shared" si="1"/>
        <v>0</v>
      </c>
      <c r="BF89" s="20">
        <f t="shared" si="2"/>
        <v>0</v>
      </c>
      <c r="BG89" s="20">
        <f t="shared" si="3"/>
        <v>0</v>
      </c>
    </row>
    <row r="90" spans="1:59" ht="18" customHeight="1">
      <c r="A90" s="147" t="s">
        <v>59</v>
      </c>
      <c r="B90" s="147" t="s">
        <v>268</v>
      </c>
      <c r="C90" s="151" t="s">
        <v>269</v>
      </c>
      <c r="D90" s="151" t="s">
        <v>62</v>
      </c>
      <c r="E90" s="151">
        <v>29</v>
      </c>
      <c r="F90" s="149" t="s">
        <v>332</v>
      </c>
      <c r="G90" s="147" t="s">
        <v>271</v>
      </c>
      <c r="H90" s="147" t="s">
        <v>287</v>
      </c>
      <c r="I90" s="147" t="s">
        <v>288</v>
      </c>
      <c r="J90" s="164">
        <v>43233501</v>
      </c>
      <c r="K90" s="147" t="s">
        <v>289</v>
      </c>
      <c r="L90" s="147" t="s">
        <v>333</v>
      </c>
      <c r="M90" s="147" t="s">
        <v>334</v>
      </c>
      <c r="N90" s="147" t="s">
        <v>100</v>
      </c>
      <c r="O90" s="147" t="s">
        <v>142</v>
      </c>
      <c r="P90" s="147" t="s">
        <v>71</v>
      </c>
      <c r="Q90" s="147">
        <v>12</v>
      </c>
      <c r="R90" s="147" t="s">
        <v>72</v>
      </c>
      <c r="S90" s="147" t="s">
        <v>143</v>
      </c>
      <c r="T90" s="147" t="s">
        <v>74</v>
      </c>
      <c r="U90" s="175">
        <v>10696777</v>
      </c>
      <c r="V90" s="175">
        <v>10696777</v>
      </c>
      <c r="W90" s="147" t="s">
        <v>75</v>
      </c>
      <c r="X90" s="147" t="s">
        <v>67</v>
      </c>
      <c r="Y90" s="147" t="s">
        <v>278</v>
      </c>
      <c r="Z90" s="147" t="s">
        <v>279</v>
      </c>
      <c r="AA90" s="147">
        <v>6012220601</v>
      </c>
      <c r="AB90" s="160" t="s">
        <v>280</v>
      </c>
      <c r="AC90" s="14"/>
      <c r="AD90" s="14"/>
      <c r="AE90" s="14"/>
      <c r="AF90" s="14"/>
      <c r="AG90" s="14"/>
      <c r="AH90" s="14"/>
      <c r="AI90" s="15"/>
      <c r="AJ90" s="14"/>
      <c r="AK90" s="14"/>
      <c r="AL90" s="14"/>
      <c r="AM90" s="14"/>
      <c r="AN90" s="14"/>
      <c r="AO90" s="14"/>
      <c r="AP90" s="14"/>
      <c r="AQ90" s="14"/>
      <c r="AR90" s="14"/>
      <c r="AS90" s="14"/>
      <c r="AT90" s="14"/>
      <c r="AU90" s="15">
        <v>10696777</v>
      </c>
      <c r="AV90" s="15"/>
      <c r="AW90" s="15"/>
      <c r="AX90" s="15"/>
      <c r="AY90" s="15"/>
      <c r="AZ90" s="15">
        <v>10696777</v>
      </c>
      <c r="BA90" s="17"/>
      <c r="BB90" s="17"/>
      <c r="BC90" s="18">
        <f t="shared" ref="BC90:BD90" si="84">AC90+AE90+AG90+AI90+AK90+AM90+AO90+AQ90+AS90+AU90+AW90+AY90+BA90</f>
        <v>10696777</v>
      </c>
      <c r="BD90" s="18">
        <f t="shared" si="84"/>
        <v>10696777</v>
      </c>
      <c r="BE90" s="19">
        <f t="shared" si="1"/>
        <v>0</v>
      </c>
      <c r="BF90" s="20">
        <f t="shared" si="2"/>
        <v>0</v>
      </c>
      <c r="BG90" s="20">
        <f t="shared" si="3"/>
        <v>0</v>
      </c>
    </row>
    <row r="91" spans="1:59" ht="14.25" customHeight="1">
      <c r="A91" s="147" t="s">
        <v>59</v>
      </c>
      <c r="B91" s="147" t="s">
        <v>268</v>
      </c>
      <c r="C91" s="151" t="s">
        <v>269</v>
      </c>
      <c r="D91" s="151" t="s">
        <v>62</v>
      </c>
      <c r="E91" s="151">
        <v>32</v>
      </c>
      <c r="F91" s="149" t="s">
        <v>335</v>
      </c>
      <c r="G91" s="147" t="s">
        <v>271</v>
      </c>
      <c r="H91" s="147" t="s">
        <v>287</v>
      </c>
      <c r="I91" s="147" t="s">
        <v>296</v>
      </c>
      <c r="J91" s="164">
        <v>80111620</v>
      </c>
      <c r="K91" s="147" t="s">
        <v>289</v>
      </c>
      <c r="L91" s="147" t="s">
        <v>83</v>
      </c>
      <c r="M91" s="147" t="s">
        <v>336</v>
      </c>
      <c r="N91" s="147" t="s">
        <v>100</v>
      </c>
      <c r="O91" s="147" t="s">
        <v>100</v>
      </c>
      <c r="P91" s="147" t="s">
        <v>142</v>
      </c>
      <c r="Q91" s="147">
        <v>5</v>
      </c>
      <c r="R91" s="147" t="s">
        <v>72</v>
      </c>
      <c r="S91" s="147" t="s">
        <v>252</v>
      </c>
      <c r="T91" s="147" t="s">
        <v>74</v>
      </c>
      <c r="U91" s="148">
        <v>29650000</v>
      </c>
      <c r="V91" s="148">
        <v>29650000</v>
      </c>
      <c r="W91" s="147" t="s">
        <v>75</v>
      </c>
      <c r="X91" s="147" t="s">
        <v>67</v>
      </c>
      <c r="Y91" s="147" t="s">
        <v>337</v>
      </c>
      <c r="Z91" s="147" t="s">
        <v>279</v>
      </c>
      <c r="AA91" s="147">
        <v>6012220601</v>
      </c>
      <c r="AB91" s="160" t="s">
        <v>338</v>
      </c>
      <c r="AC91" s="14"/>
      <c r="AD91" s="14"/>
      <c r="AE91" s="14"/>
      <c r="AF91" s="14"/>
      <c r="AG91" s="14"/>
      <c r="AH91" s="14"/>
      <c r="AI91" s="14"/>
      <c r="AJ91" s="14"/>
      <c r="AK91" s="14"/>
      <c r="AL91" s="14"/>
      <c r="AM91" s="14"/>
      <c r="AN91" s="14"/>
      <c r="AO91" s="14"/>
      <c r="AP91" s="14"/>
      <c r="AQ91" s="14">
        <v>29650000</v>
      </c>
      <c r="AR91" s="14"/>
      <c r="AS91" s="14">
        <v>-1976667</v>
      </c>
      <c r="AT91" s="14">
        <v>3953333</v>
      </c>
      <c r="AU91" s="30">
        <v>1976667</v>
      </c>
      <c r="AV91" s="25">
        <v>5930000</v>
      </c>
      <c r="AW91" s="25"/>
      <c r="AX91" s="25">
        <v>5930000</v>
      </c>
      <c r="AY91" s="25"/>
      <c r="AZ91" s="28">
        <f>11860000+1976667</f>
        <v>13836667</v>
      </c>
      <c r="BA91" s="17"/>
      <c r="BB91" s="17"/>
      <c r="BC91" s="18">
        <f t="shared" ref="BC91:BD91" si="85">AC91+AE91+AG91+AI91+AK91+AM91+AO91+AQ91+AS91+AU91+AW91+AY91+BA91</f>
        <v>29650000</v>
      </c>
      <c r="BD91" s="18">
        <f t="shared" si="85"/>
        <v>29650000</v>
      </c>
      <c r="BE91" s="19">
        <f t="shared" si="1"/>
        <v>0</v>
      </c>
      <c r="BF91" s="20">
        <f t="shared" si="2"/>
        <v>0</v>
      </c>
      <c r="BG91" s="20">
        <f t="shared" si="3"/>
        <v>0</v>
      </c>
    </row>
    <row r="92" spans="1:59" ht="14.25" customHeight="1">
      <c r="A92" s="147" t="s">
        <v>59</v>
      </c>
      <c r="B92" s="147" t="s">
        <v>268</v>
      </c>
      <c r="C92" s="151" t="s">
        <v>269</v>
      </c>
      <c r="D92" s="151" t="s">
        <v>62</v>
      </c>
      <c r="E92" s="151">
        <v>32</v>
      </c>
      <c r="F92" s="149" t="s">
        <v>339</v>
      </c>
      <c r="G92" s="147" t="s">
        <v>271</v>
      </c>
      <c r="H92" s="147" t="s">
        <v>287</v>
      </c>
      <c r="I92" s="147" t="s">
        <v>296</v>
      </c>
      <c r="J92" s="164">
        <v>80111620</v>
      </c>
      <c r="K92" s="147" t="s">
        <v>289</v>
      </c>
      <c r="L92" s="147" t="s">
        <v>83</v>
      </c>
      <c r="M92" s="147" t="s">
        <v>340</v>
      </c>
      <c r="N92" s="147" t="s">
        <v>127</v>
      </c>
      <c r="O92" s="147" t="s">
        <v>127</v>
      </c>
      <c r="P92" s="147" t="s">
        <v>128</v>
      </c>
      <c r="Q92" s="147">
        <v>7</v>
      </c>
      <c r="R92" s="147" t="s">
        <v>72</v>
      </c>
      <c r="S92" s="147" t="s">
        <v>252</v>
      </c>
      <c r="T92" s="147" t="s">
        <v>74</v>
      </c>
      <c r="U92" s="148">
        <v>23977800</v>
      </c>
      <c r="V92" s="148">
        <v>23977800</v>
      </c>
      <c r="W92" s="147" t="s">
        <v>75</v>
      </c>
      <c r="X92" s="147" t="s">
        <v>67</v>
      </c>
      <c r="Y92" s="147" t="s">
        <v>337</v>
      </c>
      <c r="Z92" s="147" t="s">
        <v>279</v>
      </c>
      <c r="AA92" s="147">
        <v>6012220601</v>
      </c>
      <c r="AB92" s="160" t="s">
        <v>338</v>
      </c>
      <c r="AC92" s="14"/>
      <c r="AD92" s="14"/>
      <c r="AE92" s="14"/>
      <c r="AF92" s="14"/>
      <c r="AG92" s="14"/>
      <c r="AH92" s="14"/>
      <c r="AI92" s="14"/>
      <c r="AJ92" s="14"/>
      <c r="AK92" s="14"/>
      <c r="AL92" s="14"/>
      <c r="AM92" s="14"/>
      <c r="AN92" s="14"/>
      <c r="AO92" s="14">
        <v>23977800</v>
      </c>
      <c r="AP92" s="14"/>
      <c r="AQ92" s="14"/>
      <c r="AR92" s="14">
        <v>3596670</v>
      </c>
      <c r="AS92" s="14">
        <v>-399630</v>
      </c>
      <c r="AT92" s="14">
        <v>3996300</v>
      </c>
      <c r="AU92" s="30">
        <v>399630</v>
      </c>
      <c r="AV92" s="25">
        <v>3996300</v>
      </c>
      <c r="AW92" s="25"/>
      <c r="AX92" s="25">
        <v>3996300</v>
      </c>
      <c r="AY92" s="25"/>
      <c r="AZ92" s="28">
        <f>7992600+399630</f>
        <v>8392230</v>
      </c>
      <c r="BA92" s="17"/>
      <c r="BB92" s="17"/>
      <c r="BC92" s="18">
        <f t="shared" ref="BC92:BD92" si="86">AC92+AE92+AG92+AI92+AK92+AM92+AO92+AQ92+AS92+AU92+AW92+AY92+BA92</f>
        <v>23977800</v>
      </c>
      <c r="BD92" s="18">
        <f t="shared" si="86"/>
        <v>23977800</v>
      </c>
      <c r="BE92" s="19">
        <f t="shared" si="1"/>
        <v>0</v>
      </c>
      <c r="BF92" s="20">
        <f t="shared" si="2"/>
        <v>0</v>
      </c>
      <c r="BG92" s="20">
        <f t="shared" si="3"/>
        <v>0</v>
      </c>
    </row>
    <row r="93" spans="1:59" ht="14.25" customHeight="1">
      <c r="A93" s="147" t="s">
        <v>59</v>
      </c>
      <c r="B93" s="147" t="s">
        <v>268</v>
      </c>
      <c r="C93" s="151" t="s">
        <v>269</v>
      </c>
      <c r="D93" s="151" t="s">
        <v>62</v>
      </c>
      <c r="E93" s="151">
        <v>28</v>
      </c>
      <c r="F93" s="149" t="s">
        <v>341</v>
      </c>
      <c r="G93" s="147" t="s">
        <v>271</v>
      </c>
      <c r="H93" s="147" t="s">
        <v>287</v>
      </c>
      <c r="I93" s="147" t="s">
        <v>296</v>
      </c>
      <c r="J93" s="164">
        <v>80111620</v>
      </c>
      <c r="K93" s="147" t="s">
        <v>289</v>
      </c>
      <c r="L93" s="147" t="s">
        <v>83</v>
      </c>
      <c r="M93" s="147" t="s">
        <v>342</v>
      </c>
      <c r="N93" s="147" t="s">
        <v>343</v>
      </c>
      <c r="O93" s="147" t="s">
        <v>128</v>
      </c>
      <c r="P93" s="147" t="s">
        <v>344</v>
      </c>
      <c r="Q93" s="147">
        <v>6</v>
      </c>
      <c r="R93" s="147" t="s">
        <v>72</v>
      </c>
      <c r="S93" s="147" t="s">
        <v>252</v>
      </c>
      <c r="T93" s="147" t="s">
        <v>74</v>
      </c>
      <c r="U93" s="148">
        <v>34479900</v>
      </c>
      <c r="V93" s="148">
        <v>34479900</v>
      </c>
      <c r="W93" s="147" t="s">
        <v>75</v>
      </c>
      <c r="X93" s="147" t="s">
        <v>67</v>
      </c>
      <c r="Y93" s="147" t="s">
        <v>337</v>
      </c>
      <c r="Z93" s="147" t="s">
        <v>279</v>
      </c>
      <c r="AA93" s="147">
        <v>6012220601</v>
      </c>
      <c r="AB93" s="160" t="s">
        <v>338</v>
      </c>
      <c r="AC93" s="14"/>
      <c r="AD93" s="14"/>
      <c r="AE93" s="14"/>
      <c r="AF93" s="14"/>
      <c r="AG93" s="14"/>
      <c r="AH93" s="14"/>
      <c r="AI93" s="14"/>
      <c r="AJ93" s="14"/>
      <c r="AK93" s="14"/>
      <c r="AL93" s="14"/>
      <c r="AM93" s="14"/>
      <c r="AN93" s="14"/>
      <c r="AO93" s="14">
        <v>31606575</v>
      </c>
      <c r="AP93" s="14"/>
      <c r="AQ93" s="14"/>
      <c r="AR93" s="14">
        <v>574665</v>
      </c>
      <c r="AS93" s="14">
        <v>-2298660</v>
      </c>
      <c r="AT93" s="14">
        <v>5746650</v>
      </c>
      <c r="AU93" s="30">
        <v>5171985</v>
      </c>
      <c r="AV93" s="25">
        <v>5746650</v>
      </c>
      <c r="AW93" s="25"/>
      <c r="AX93" s="25">
        <v>5746650</v>
      </c>
      <c r="AY93" s="28"/>
      <c r="AZ93" s="28">
        <f>(5746650*2)+2298660+2873325</f>
        <v>16665285</v>
      </c>
      <c r="BA93" s="17"/>
      <c r="BB93" s="17"/>
      <c r="BC93" s="18">
        <f t="shared" ref="BC93:BD93" si="87">AC93+AE93+AG93+AI93+AK93+AM93+AO93+AQ93+AS93+AU93+AW93+AY93+BA93</f>
        <v>34479900</v>
      </c>
      <c r="BD93" s="18">
        <f t="shared" si="87"/>
        <v>34479900</v>
      </c>
      <c r="BE93" s="19">
        <f t="shared" si="1"/>
        <v>0</v>
      </c>
      <c r="BF93" s="20">
        <f t="shared" si="2"/>
        <v>0</v>
      </c>
      <c r="BG93" s="20">
        <f t="shared" si="3"/>
        <v>0</v>
      </c>
    </row>
    <row r="94" spans="1:59" ht="14.25" customHeight="1">
      <c r="A94" s="147" t="s">
        <v>59</v>
      </c>
      <c r="B94" s="147" t="s">
        <v>268</v>
      </c>
      <c r="C94" s="151" t="s">
        <v>269</v>
      </c>
      <c r="D94" s="151" t="s">
        <v>62</v>
      </c>
      <c r="E94" s="151">
        <v>32</v>
      </c>
      <c r="F94" s="149" t="s">
        <v>345</v>
      </c>
      <c r="G94" s="147" t="s">
        <v>271</v>
      </c>
      <c r="H94" s="147" t="s">
        <v>287</v>
      </c>
      <c r="I94" s="147" t="s">
        <v>296</v>
      </c>
      <c r="J94" s="164">
        <v>80111620</v>
      </c>
      <c r="K94" s="147" t="s">
        <v>289</v>
      </c>
      <c r="L94" s="147" t="s">
        <v>83</v>
      </c>
      <c r="M94" s="147" t="s">
        <v>346</v>
      </c>
      <c r="N94" s="147" t="s">
        <v>100</v>
      </c>
      <c r="O94" s="147" t="s">
        <v>100</v>
      </c>
      <c r="P94" s="147" t="s">
        <v>142</v>
      </c>
      <c r="Q94" s="147">
        <v>5</v>
      </c>
      <c r="R94" s="147" t="s">
        <v>72</v>
      </c>
      <c r="S94" s="147" t="s">
        <v>252</v>
      </c>
      <c r="T94" s="147" t="s">
        <v>74</v>
      </c>
      <c r="U94" s="148">
        <v>29650000</v>
      </c>
      <c r="V94" s="148">
        <v>29650000</v>
      </c>
      <c r="W94" s="147" t="s">
        <v>75</v>
      </c>
      <c r="X94" s="147" t="s">
        <v>67</v>
      </c>
      <c r="Y94" s="147" t="s">
        <v>337</v>
      </c>
      <c r="Z94" s="147" t="s">
        <v>279</v>
      </c>
      <c r="AA94" s="147">
        <v>6012220601</v>
      </c>
      <c r="AB94" s="160" t="s">
        <v>338</v>
      </c>
      <c r="AC94" s="14"/>
      <c r="AD94" s="14"/>
      <c r="AE94" s="14"/>
      <c r="AF94" s="14"/>
      <c r="AG94" s="14"/>
      <c r="AH94" s="14"/>
      <c r="AI94" s="14"/>
      <c r="AJ94" s="14"/>
      <c r="AK94" s="14"/>
      <c r="AL94" s="14"/>
      <c r="AM94" s="14"/>
      <c r="AN94" s="14"/>
      <c r="AO94" s="14"/>
      <c r="AP94" s="14"/>
      <c r="AQ94" s="14">
        <v>29650000</v>
      </c>
      <c r="AR94" s="14"/>
      <c r="AS94" s="14">
        <v>-1976667</v>
      </c>
      <c r="AT94" s="14">
        <v>3953333</v>
      </c>
      <c r="AU94" s="30">
        <v>1976667</v>
      </c>
      <c r="AV94" s="25">
        <v>5930000</v>
      </c>
      <c r="AW94" s="25"/>
      <c r="AX94" s="25">
        <v>5930000</v>
      </c>
      <c r="AY94" s="25"/>
      <c r="AZ94" s="28">
        <f>11860000+1976667</f>
        <v>13836667</v>
      </c>
      <c r="BA94" s="17"/>
      <c r="BB94" s="17"/>
      <c r="BC94" s="18">
        <f t="shared" ref="BC94:BD94" si="88">AC94+AE94+AG94+AI94+AK94+AM94+AO94+AQ94+AS94+AU94+AW94+AY94+BA94</f>
        <v>29650000</v>
      </c>
      <c r="BD94" s="18">
        <f t="shared" si="88"/>
        <v>29650000</v>
      </c>
      <c r="BE94" s="19">
        <f t="shared" si="1"/>
        <v>0</v>
      </c>
      <c r="BF94" s="20">
        <f t="shared" si="2"/>
        <v>0</v>
      </c>
      <c r="BG94" s="20">
        <f t="shared" si="3"/>
        <v>0</v>
      </c>
    </row>
    <row r="95" spans="1:59" ht="14.25" customHeight="1">
      <c r="A95" s="147" t="s">
        <v>59</v>
      </c>
      <c r="B95" s="147" t="s">
        <v>268</v>
      </c>
      <c r="C95" s="151" t="s">
        <v>269</v>
      </c>
      <c r="D95" s="151" t="s">
        <v>62</v>
      </c>
      <c r="E95" s="151">
        <v>32</v>
      </c>
      <c r="F95" s="149" t="s">
        <v>347</v>
      </c>
      <c r="G95" s="147" t="s">
        <v>271</v>
      </c>
      <c r="H95" s="147" t="s">
        <v>272</v>
      </c>
      <c r="I95" s="147" t="s">
        <v>282</v>
      </c>
      <c r="J95" s="164">
        <v>80111620</v>
      </c>
      <c r="K95" s="147" t="s">
        <v>274</v>
      </c>
      <c r="L95" s="147" t="s">
        <v>83</v>
      </c>
      <c r="M95" s="147" t="s">
        <v>348</v>
      </c>
      <c r="N95" s="147" t="s">
        <v>100</v>
      </c>
      <c r="O95" s="147" t="s">
        <v>100</v>
      </c>
      <c r="P95" s="147" t="s">
        <v>142</v>
      </c>
      <c r="Q95" s="147">
        <v>5</v>
      </c>
      <c r="R95" s="147" t="s">
        <v>72</v>
      </c>
      <c r="S95" s="147" t="s">
        <v>252</v>
      </c>
      <c r="T95" s="147" t="s">
        <v>74</v>
      </c>
      <c r="U95" s="148">
        <v>29650000</v>
      </c>
      <c r="V95" s="148">
        <v>29650000</v>
      </c>
      <c r="W95" s="147" t="s">
        <v>75</v>
      </c>
      <c r="X95" s="147" t="s">
        <v>67</v>
      </c>
      <c r="Y95" s="147" t="s">
        <v>337</v>
      </c>
      <c r="Z95" s="147" t="s">
        <v>279</v>
      </c>
      <c r="AA95" s="147">
        <v>6012220601</v>
      </c>
      <c r="AB95" s="160" t="s">
        <v>338</v>
      </c>
      <c r="AC95" s="14"/>
      <c r="AD95" s="14"/>
      <c r="AE95" s="14"/>
      <c r="AF95" s="14"/>
      <c r="AG95" s="14"/>
      <c r="AH95" s="14"/>
      <c r="AI95" s="14"/>
      <c r="AJ95" s="14"/>
      <c r="AK95" s="14"/>
      <c r="AL95" s="14"/>
      <c r="AM95" s="14"/>
      <c r="AN95" s="14"/>
      <c r="AO95" s="14"/>
      <c r="AP95" s="14"/>
      <c r="AQ95" s="14">
        <v>28661667</v>
      </c>
      <c r="AR95" s="14"/>
      <c r="AS95" s="14">
        <v>-1581334</v>
      </c>
      <c r="AT95" s="14">
        <f>3162667+988333</f>
        <v>4151000</v>
      </c>
      <c r="AU95" s="30">
        <f>1581334+988333</f>
        <v>2569667</v>
      </c>
      <c r="AV95" s="25">
        <v>5930000</v>
      </c>
      <c r="AW95" s="25"/>
      <c r="AX95" s="25">
        <v>5930000</v>
      </c>
      <c r="AY95" s="28"/>
      <c r="AZ95" s="28">
        <f>11860000+1779000</f>
        <v>13639000</v>
      </c>
      <c r="BA95" s="17"/>
      <c r="BB95" s="17"/>
      <c r="BC95" s="18">
        <f t="shared" ref="BC95:BD95" si="89">AC95+AE95+AG95+AI95+AK95+AM95+AO95+AQ95+AS95+AU95+AW95+AY95+BA95</f>
        <v>29650000</v>
      </c>
      <c r="BD95" s="18">
        <f t="shared" si="89"/>
        <v>29650000</v>
      </c>
      <c r="BE95" s="19">
        <f t="shared" si="1"/>
        <v>0</v>
      </c>
      <c r="BF95" s="20">
        <f t="shared" si="2"/>
        <v>0</v>
      </c>
      <c r="BG95" s="20">
        <f t="shared" si="3"/>
        <v>0</v>
      </c>
    </row>
    <row r="96" spans="1:59" ht="14.25" customHeight="1">
      <c r="A96" s="147" t="s">
        <v>59</v>
      </c>
      <c r="B96" s="147" t="s">
        <v>268</v>
      </c>
      <c r="C96" s="151" t="s">
        <v>269</v>
      </c>
      <c r="D96" s="151" t="s">
        <v>62</v>
      </c>
      <c r="E96" s="151">
        <v>32</v>
      </c>
      <c r="F96" s="149" t="s">
        <v>349</v>
      </c>
      <c r="G96" s="147" t="s">
        <v>271</v>
      </c>
      <c r="H96" s="147" t="s">
        <v>287</v>
      </c>
      <c r="I96" s="147" t="s">
        <v>288</v>
      </c>
      <c r="J96" s="164">
        <v>80111620</v>
      </c>
      <c r="K96" s="147" t="s">
        <v>289</v>
      </c>
      <c r="L96" s="147" t="s">
        <v>83</v>
      </c>
      <c r="M96" s="147" t="s">
        <v>350</v>
      </c>
      <c r="N96" s="147" t="s">
        <v>100</v>
      </c>
      <c r="O96" s="147" t="s">
        <v>100</v>
      </c>
      <c r="P96" s="147" t="s">
        <v>142</v>
      </c>
      <c r="Q96" s="147">
        <v>5</v>
      </c>
      <c r="R96" s="147" t="s">
        <v>72</v>
      </c>
      <c r="S96" s="147" t="s">
        <v>252</v>
      </c>
      <c r="T96" s="147" t="s">
        <v>74</v>
      </c>
      <c r="U96" s="148">
        <v>35080000</v>
      </c>
      <c r="V96" s="148">
        <v>35080000</v>
      </c>
      <c r="W96" s="147" t="s">
        <v>75</v>
      </c>
      <c r="X96" s="147" t="s">
        <v>67</v>
      </c>
      <c r="Y96" s="147" t="s">
        <v>337</v>
      </c>
      <c r="Z96" s="147" t="s">
        <v>279</v>
      </c>
      <c r="AA96" s="147">
        <v>6012220601</v>
      </c>
      <c r="AB96" s="160" t="s">
        <v>338</v>
      </c>
      <c r="AC96" s="14"/>
      <c r="AD96" s="14"/>
      <c r="AE96" s="14"/>
      <c r="AF96" s="14"/>
      <c r="AG96" s="14"/>
      <c r="AH96" s="14"/>
      <c r="AI96" s="14"/>
      <c r="AJ96" s="14"/>
      <c r="AK96" s="14"/>
      <c r="AL96" s="14"/>
      <c r="AM96" s="14"/>
      <c r="AN96" s="14"/>
      <c r="AO96" s="14"/>
      <c r="AP96" s="14"/>
      <c r="AQ96" s="14">
        <v>35080000</v>
      </c>
      <c r="AR96" s="14"/>
      <c r="AS96" s="14"/>
      <c r="AT96" s="14">
        <v>4677333</v>
      </c>
      <c r="AU96" s="25"/>
      <c r="AV96" s="25">
        <v>7016000</v>
      </c>
      <c r="AW96" s="25"/>
      <c r="AX96" s="25">
        <v>7016000</v>
      </c>
      <c r="AY96" s="25"/>
      <c r="AZ96" s="28">
        <f>(AX96*2)+2338667</f>
        <v>16370667</v>
      </c>
      <c r="BA96" s="17"/>
      <c r="BB96" s="17"/>
      <c r="BC96" s="18">
        <f t="shared" ref="BC96:BD96" si="90">AC96+AE96+AG96+AI96+AK96+AM96+AO96+AQ96+AS96+AU96+AW96+AY96+BA96</f>
        <v>35080000</v>
      </c>
      <c r="BD96" s="18">
        <f t="shared" si="90"/>
        <v>35080000</v>
      </c>
      <c r="BE96" s="19">
        <f t="shared" si="1"/>
        <v>0</v>
      </c>
      <c r="BF96" s="20">
        <f t="shared" si="2"/>
        <v>0</v>
      </c>
      <c r="BG96" s="20">
        <f t="shared" si="3"/>
        <v>0</v>
      </c>
    </row>
    <row r="97" spans="1:59" ht="14.25" customHeight="1">
      <c r="A97" s="147" t="s">
        <v>59</v>
      </c>
      <c r="B97" s="147" t="s">
        <v>268</v>
      </c>
      <c r="C97" s="151" t="s">
        <v>269</v>
      </c>
      <c r="D97" s="151" t="s">
        <v>62</v>
      </c>
      <c r="E97" s="151">
        <v>32</v>
      </c>
      <c r="F97" s="149" t="s">
        <v>351</v>
      </c>
      <c r="G97" s="147" t="s">
        <v>271</v>
      </c>
      <c r="H97" s="147" t="s">
        <v>287</v>
      </c>
      <c r="I97" s="147" t="s">
        <v>288</v>
      </c>
      <c r="J97" s="164">
        <v>80111620</v>
      </c>
      <c r="K97" s="147" t="s">
        <v>289</v>
      </c>
      <c r="L97" s="147" t="s">
        <v>83</v>
      </c>
      <c r="M97" s="147" t="s">
        <v>352</v>
      </c>
      <c r="N97" s="147" t="s">
        <v>100</v>
      </c>
      <c r="O97" s="147" t="s">
        <v>100</v>
      </c>
      <c r="P97" s="165" t="s">
        <v>142</v>
      </c>
      <c r="Q97" s="147">
        <v>5.5</v>
      </c>
      <c r="R97" s="147" t="s">
        <v>72</v>
      </c>
      <c r="S97" s="147" t="s">
        <v>252</v>
      </c>
      <c r="T97" s="147" t="s">
        <v>74</v>
      </c>
      <c r="U97" s="148">
        <v>24058650</v>
      </c>
      <c r="V97" s="148">
        <v>24058650</v>
      </c>
      <c r="W97" s="147" t="s">
        <v>75</v>
      </c>
      <c r="X97" s="147" t="s">
        <v>67</v>
      </c>
      <c r="Y97" s="147" t="s">
        <v>337</v>
      </c>
      <c r="Z97" s="147" t="s">
        <v>279</v>
      </c>
      <c r="AA97" s="147">
        <v>6012220601</v>
      </c>
      <c r="AB97" s="160" t="s">
        <v>338</v>
      </c>
      <c r="AC97" s="14"/>
      <c r="AD97" s="14"/>
      <c r="AE97" s="14"/>
      <c r="AF97" s="14"/>
      <c r="AG97" s="14"/>
      <c r="AH97" s="14"/>
      <c r="AI97" s="14"/>
      <c r="AJ97" s="14"/>
      <c r="AK97" s="14"/>
      <c r="AL97" s="14"/>
      <c r="AM97" s="14"/>
      <c r="AN97" s="14"/>
      <c r="AO97" s="14"/>
      <c r="AP97" s="14"/>
      <c r="AQ97" s="14"/>
      <c r="AR97" s="14"/>
      <c r="AS97" s="14">
        <v>16627380</v>
      </c>
      <c r="AT97" s="14"/>
      <c r="AU97" s="28">
        <f>2187150+5244120</f>
        <v>7431270</v>
      </c>
      <c r="AV97" s="25">
        <f>4374300/2</f>
        <v>2187150</v>
      </c>
      <c r="AW97" s="25"/>
      <c r="AX97" s="25">
        <v>4374300</v>
      </c>
      <c r="AY97" s="25"/>
      <c r="AZ97" s="28">
        <f>8748600+5394970+3353630-5244120+5244120</f>
        <v>17497200</v>
      </c>
      <c r="BA97" s="17"/>
      <c r="BB97" s="17"/>
      <c r="BC97" s="18">
        <f t="shared" ref="BC97:BD97" si="91">AC97+AE97+AG97+AI97+AK97+AM97+AO97+AQ97+AS97+AU97+AW97+AY97+BA97</f>
        <v>24058650</v>
      </c>
      <c r="BD97" s="18">
        <f t="shared" si="91"/>
        <v>24058650</v>
      </c>
      <c r="BE97" s="19">
        <f t="shared" si="1"/>
        <v>0</v>
      </c>
      <c r="BF97" s="20">
        <f t="shared" si="2"/>
        <v>0</v>
      </c>
      <c r="BG97" s="20">
        <f t="shared" si="3"/>
        <v>0</v>
      </c>
    </row>
    <row r="98" spans="1:59" ht="14.25" customHeight="1">
      <c r="A98" s="147" t="s">
        <v>59</v>
      </c>
      <c r="B98" s="147" t="s">
        <v>268</v>
      </c>
      <c r="C98" s="151" t="s">
        <v>269</v>
      </c>
      <c r="D98" s="151" t="s">
        <v>62</v>
      </c>
      <c r="E98" s="151">
        <v>32</v>
      </c>
      <c r="F98" s="149" t="s">
        <v>353</v>
      </c>
      <c r="G98" s="147" t="s">
        <v>271</v>
      </c>
      <c r="H98" s="147" t="s">
        <v>287</v>
      </c>
      <c r="I98" s="147" t="s">
        <v>296</v>
      </c>
      <c r="J98" s="164">
        <v>80111620</v>
      </c>
      <c r="K98" s="147" t="s">
        <v>289</v>
      </c>
      <c r="L98" s="147" t="s">
        <v>83</v>
      </c>
      <c r="M98" s="147" t="s">
        <v>354</v>
      </c>
      <c r="N98" s="147" t="s">
        <v>100</v>
      </c>
      <c r="O98" s="147" t="s">
        <v>100</v>
      </c>
      <c r="P98" s="147" t="s">
        <v>142</v>
      </c>
      <c r="Q98" s="147">
        <v>5</v>
      </c>
      <c r="R98" s="147" t="s">
        <v>72</v>
      </c>
      <c r="S98" s="147" t="s">
        <v>252</v>
      </c>
      <c r="T98" s="147" t="s">
        <v>74</v>
      </c>
      <c r="U98" s="148">
        <v>31730000</v>
      </c>
      <c r="V98" s="148">
        <v>31730000</v>
      </c>
      <c r="W98" s="147" t="s">
        <v>75</v>
      </c>
      <c r="X98" s="147" t="s">
        <v>67</v>
      </c>
      <c r="Y98" s="147" t="s">
        <v>337</v>
      </c>
      <c r="Z98" s="147" t="s">
        <v>279</v>
      </c>
      <c r="AA98" s="147">
        <v>6012220601</v>
      </c>
      <c r="AB98" s="160" t="s">
        <v>338</v>
      </c>
      <c r="AC98" s="14"/>
      <c r="AD98" s="14"/>
      <c r="AE98" s="14"/>
      <c r="AF98" s="14"/>
      <c r="AG98" s="14"/>
      <c r="AH98" s="14"/>
      <c r="AI98" s="14"/>
      <c r="AJ98" s="14"/>
      <c r="AK98" s="14"/>
      <c r="AL98" s="14"/>
      <c r="AM98" s="14"/>
      <c r="AN98" s="14"/>
      <c r="AO98" s="14"/>
      <c r="AP98" s="14"/>
      <c r="AQ98" s="14">
        <v>31730000</v>
      </c>
      <c r="AR98" s="14"/>
      <c r="AS98" s="14"/>
      <c r="AT98" s="14">
        <v>4230666</v>
      </c>
      <c r="AU98" s="25"/>
      <c r="AV98" s="25">
        <v>6346000</v>
      </c>
      <c r="AW98" s="25"/>
      <c r="AX98" s="25">
        <v>6346000</v>
      </c>
      <c r="AY98" s="25"/>
      <c r="AZ98" s="28">
        <f>12692000+2115334</f>
        <v>14807334</v>
      </c>
      <c r="BA98" s="17"/>
      <c r="BB98" s="17"/>
      <c r="BC98" s="18">
        <f t="shared" ref="BC98:BD98" si="92">AC98+AE98+AG98+AI98+AK98+AM98+AO98+AQ98+AS98+AU98+AW98+AY98+BA98</f>
        <v>31730000</v>
      </c>
      <c r="BD98" s="18">
        <f t="shared" si="92"/>
        <v>31730000</v>
      </c>
      <c r="BE98" s="19">
        <f t="shared" si="1"/>
        <v>0</v>
      </c>
      <c r="BF98" s="20">
        <f t="shared" si="2"/>
        <v>0</v>
      </c>
      <c r="BG98" s="20">
        <f t="shared" si="3"/>
        <v>0</v>
      </c>
    </row>
    <row r="99" spans="1:59" ht="14.25" customHeight="1">
      <c r="A99" s="147" t="s">
        <v>59</v>
      </c>
      <c r="B99" s="147" t="s">
        <v>268</v>
      </c>
      <c r="C99" s="151" t="s">
        <v>269</v>
      </c>
      <c r="D99" s="151" t="s">
        <v>62</v>
      </c>
      <c r="E99" s="151">
        <v>32</v>
      </c>
      <c r="F99" s="149" t="s">
        <v>355</v>
      </c>
      <c r="G99" s="147" t="s">
        <v>271</v>
      </c>
      <c r="H99" s="147" t="s">
        <v>287</v>
      </c>
      <c r="I99" s="147" t="s">
        <v>296</v>
      </c>
      <c r="J99" s="164">
        <v>80111620</v>
      </c>
      <c r="K99" s="147" t="s">
        <v>289</v>
      </c>
      <c r="L99" s="147" t="s">
        <v>83</v>
      </c>
      <c r="M99" s="147" t="s">
        <v>356</v>
      </c>
      <c r="N99" s="147" t="s">
        <v>100</v>
      </c>
      <c r="O99" s="147" t="s">
        <v>100</v>
      </c>
      <c r="P99" s="147" t="s">
        <v>142</v>
      </c>
      <c r="Q99" s="147">
        <v>5</v>
      </c>
      <c r="R99" s="147" t="s">
        <v>72</v>
      </c>
      <c r="S99" s="147" t="s">
        <v>252</v>
      </c>
      <c r="T99" s="147" t="s">
        <v>74</v>
      </c>
      <c r="U99" s="148">
        <v>29650000</v>
      </c>
      <c r="V99" s="148">
        <v>29650000</v>
      </c>
      <c r="W99" s="147" t="s">
        <v>75</v>
      </c>
      <c r="X99" s="147" t="s">
        <v>67</v>
      </c>
      <c r="Y99" s="147" t="s">
        <v>337</v>
      </c>
      <c r="Z99" s="147" t="s">
        <v>279</v>
      </c>
      <c r="AA99" s="147">
        <v>6012220601</v>
      </c>
      <c r="AB99" s="160" t="s">
        <v>338</v>
      </c>
      <c r="AC99" s="14"/>
      <c r="AD99" s="14"/>
      <c r="AE99" s="14"/>
      <c r="AF99" s="14"/>
      <c r="AG99" s="14"/>
      <c r="AH99" s="14"/>
      <c r="AI99" s="14"/>
      <c r="AJ99" s="14"/>
      <c r="AK99" s="14"/>
      <c r="AL99" s="14"/>
      <c r="AM99" s="14"/>
      <c r="AN99" s="14"/>
      <c r="AO99" s="14"/>
      <c r="AP99" s="14"/>
      <c r="AQ99" s="14">
        <v>29650000</v>
      </c>
      <c r="AR99" s="14"/>
      <c r="AS99" s="14"/>
      <c r="AT99" s="14">
        <v>3953333</v>
      </c>
      <c r="AU99" s="25"/>
      <c r="AV99" s="25">
        <v>5930000</v>
      </c>
      <c r="AW99" s="25"/>
      <c r="AX99" s="25">
        <v>5930000</v>
      </c>
      <c r="AY99" s="25"/>
      <c r="AZ99" s="28">
        <f>11860000+1976667</f>
        <v>13836667</v>
      </c>
      <c r="BA99" s="17"/>
      <c r="BB99" s="17"/>
      <c r="BC99" s="18">
        <f t="shared" ref="BC99:BD99" si="93">AC99+AE99+AG99+AI99+AK99+AM99+AO99+AQ99+AS99+AU99+AW99+AY99+BA99</f>
        <v>29650000</v>
      </c>
      <c r="BD99" s="18">
        <f t="shared" si="93"/>
        <v>29650000</v>
      </c>
      <c r="BE99" s="19">
        <f t="shared" si="1"/>
        <v>0</v>
      </c>
      <c r="BF99" s="20">
        <f t="shared" si="2"/>
        <v>0</v>
      </c>
      <c r="BG99" s="20">
        <f t="shared" si="3"/>
        <v>0</v>
      </c>
    </row>
    <row r="100" spans="1:59" ht="14.25" customHeight="1">
      <c r="A100" s="147" t="s">
        <v>59</v>
      </c>
      <c r="B100" s="147" t="s">
        <v>268</v>
      </c>
      <c r="C100" s="151" t="s">
        <v>269</v>
      </c>
      <c r="D100" s="151" t="s">
        <v>62</v>
      </c>
      <c r="E100" s="151">
        <v>32</v>
      </c>
      <c r="F100" s="149" t="s">
        <v>357</v>
      </c>
      <c r="G100" s="147" t="s">
        <v>271</v>
      </c>
      <c r="H100" s="147" t="s">
        <v>287</v>
      </c>
      <c r="I100" s="147" t="s">
        <v>296</v>
      </c>
      <c r="J100" s="164">
        <v>80111620</v>
      </c>
      <c r="K100" s="147" t="s">
        <v>289</v>
      </c>
      <c r="L100" s="147" t="s">
        <v>83</v>
      </c>
      <c r="M100" s="147" t="s">
        <v>358</v>
      </c>
      <c r="N100" s="147" t="s">
        <v>100</v>
      </c>
      <c r="O100" s="147" t="s">
        <v>100</v>
      </c>
      <c r="P100" s="147" t="s">
        <v>142</v>
      </c>
      <c r="Q100" s="147">
        <v>5</v>
      </c>
      <c r="R100" s="147" t="s">
        <v>72</v>
      </c>
      <c r="S100" s="147" t="s">
        <v>252</v>
      </c>
      <c r="T100" s="147" t="s">
        <v>74</v>
      </c>
      <c r="U100" s="148">
        <v>32307008</v>
      </c>
      <c r="V100" s="148">
        <v>32307008</v>
      </c>
      <c r="W100" s="147" t="s">
        <v>75</v>
      </c>
      <c r="X100" s="147" t="s">
        <v>67</v>
      </c>
      <c r="Y100" s="147" t="s">
        <v>337</v>
      </c>
      <c r="Z100" s="147" t="s">
        <v>279</v>
      </c>
      <c r="AA100" s="147">
        <v>6012220601</v>
      </c>
      <c r="AB100" s="160" t="s">
        <v>338</v>
      </c>
      <c r="AC100" s="14"/>
      <c r="AD100" s="14"/>
      <c r="AE100" s="14"/>
      <c r="AF100" s="14"/>
      <c r="AG100" s="14"/>
      <c r="AH100" s="14"/>
      <c r="AI100" s="14"/>
      <c r="AJ100" s="14"/>
      <c r="AK100" s="14"/>
      <c r="AL100" s="14"/>
      <c r="AM100" s="14"/>
      <c r="AN100" s="14"/>
      <c r="AO100" s="14"/>
      <c r="AP100" s="14"/>
      <c r="AQ100" s="14">
        <v>27365000</v>
      </c>
      <c r="AR100" s="14"/>
      <c r="AS100" s="14">
        <v>-1824333</v>
      </c>
      <c r="AT100" s="14">
        <v>3648667</v>
      </c>
      <c r="AU100" s="28">
        <f>4942008+1824333</f>
        <v>6766341</v>
      </c>
      <c r="AV100" s="25">
        <v>5930000</v>
      </c>
      <c r="AW100" s="25"/>
      <c r="AX100" s="25">
        <v>5930000</v>
      </c>
      <c r="AY100" s="25"/>
      <c r="AZ100" s="28">
        <f>14517008+2281333</f>
        <v>16798341</v>
      </c>
      <c r="BA100" s="33"/>
      <c r="BB100" s="17"/>
      <c r="BC100" s="18">
        <f t="shared" ref="BC100:BD100" si="94">AC100+AE100+AG100+AI100+AK100+AM100+AO100+AQ100+AS100+AU100+AW100+AY100+BA100</f>
        <v>32307008</v>
      </c>
      <c r="BD100" s="18">
        <f t="shared" si="94"/>
        <v>32307008</v>
      </c>
      <c r="BE100" s="19">
        <f t="shared" si="1"/>
        <v>0</v>
      </c>
      <c r="BF100" s="20">
        <f t="shared" si="2"/>
        <v>0</v>
      </c>
      <c r="BG100" s="20">
        <f t="shared" si="3"/>
        <v>0</v>
      </c>
    </row>
    <row r="101" spans="1:59" ht="14.25" customHeight="1">
      <c r="A101" s="147" t="s">
        <v>59</v>
      </c>
      <c r="B101" s="147" t="s">
        <v>268</v>
      </c>
      <c r="C101" s="151" t="s">
        <v>269</v>
      </c>
      <c r="D101" s="151" t="s">
        <v>62</v>
      </c>
      <c r="E101" s="151">
        <v>40</v>
      </c>
      <c r="F101" s="149" t="s">
        <v>359</v>
      </c>
      <c r="G101" s="147" t="s">
        <v>271</v>
      </c>
      <c r="H101" s="147" t="s">
        <v>287</v>
      </c>
      <c r="I101" s="147" t="s">
        <v>296</v>
      </c>
      <c r="J101" s="164">
        <v>80111620</v>
      </c>
      <c r="K101" s="147" t="s">
        <v>289</v>
      </c>
      <c r="L101" s="147" t="s">
        <v>83</v>
      </c>
      <c r="M101" s="147" t="s">
        <v>360</v>
      </c>
      <c r="N101" s="147" t="s">
        <v>142</v>
      </c>
      <c r="O101" s="147" t="s">
        <v>142</v>
      </c>
      <c r="P101" s="147" t="s">
        <v>71</v>
      </c>
      <c r="Q101" s="147">
        <v>4</v>
      </c>
      <c r="R101" s="147" t="s">
        <v>72</v>
      </c>
      <c r="S101" s="147" t="s">
        <v>156</v>
      </c>
      <c r="T101" s="147" t="s">
        <v>74</v>
      </c>
      <c r="U101" s="148">
        <v>24000000</v>
      </c>
      <c r="V101" s="148">
        <v>24000000</v>
      </c>
      <c r="W101" s="147" t="s">
        <v>75</v>
      </c>
      <c r="X101" s="147" t="s">
        <v>67</v>
      </c>
      <c r="Y101" s="147" t="s">
        <v>337</v>
      </c>
      <c r="Z101" s="147" t="s">
        <v>279</v>
      </c>
      <c r="AA101" s="147">
        <v>6012220601</v>
      </c>
      <c r="AB101" s="160" t="s">
        <v>338</v>
      </c>
      <c r="AC101" s="14"/>
      <c r="AD101" s="14"/>
      <c r="AE101" s="14"/>
      <c r="AF101" s="14"/>
      <c r="AG101" s="14"/>
      <c r="AH101" s="14"/>
      <c r="AI101" s="14"/>
      <c r="AJ101" s="14"/>
      <c r="AK101" s="14"/>
      <c r="AL101" s="14"/>
      <c r="AM101" s="14"/>
      <c r="AN101" s="14"/>
      <c r="AO101" s="14"/>
      <c r="AP101" s="14"/>
      <c r="AQ101" s="14"/>
      <c r="AR101" s="14"/>
      <c r="AS101" s="14">
        <v>21000000</v>
      </c>
      <c r="AT101" s="14"/>
      <c r="AU101" s="25"/>
      <c r="AV101" s="25">
        <v>6000000</v>
      </c>
      <c r="AW101" s="25"/>
      <c r="AX101" s="25">
        <v>6000000</v>
      </c>
      <c r="AY101" s="25"/>
      <c r="AZ101" s="28">
        <v>9000000</v>
      </c>
      <c r="BA101" s="33">
        <v>3000000</v>
      </c>
      <c r="BB101" s="33">
        <v>3000000</v>
      </c>
      <c r="BC101" s="18">
        <f t="shared" ref="BC101:BD101" si="95">AC101+AE101+AG101+AI101+AK101+AM101+AO101+AQ101+AS101+AU101+AW101+AY101+BA101</f>
        <v>24000000</v>
      </c>
      <c r="BD101" s="18">
        <f t="shared" si="95"/>
        <v>24000000</v>
      </c>
      <c r="BE101" s="19">
        <f t="shared" si="1"/>
        <v>0</v>
      </c>
      <c r="BF101" s="20">
        <f t="shared" si="2"/>
        <v>0</v>
      </c>
      <c r="BG101" s="20">
        <f t="shared" si="3"/>
        <v>0</v>
      </c>
    </row>
    <row r="102" spans="1:59" ht="14.25" customHeight="1">
      <c r="A102" s="147" t="s">
        <v>59</v>
      </c>
      <c r="B102" s="147" t="s">
        <v>268</v>
      </c>
      <c r="C102" s="151" t="s">
        <v>269</v>
      </c>
      <c r="D102" s="151" t="s">
        <v>62</v>
      </c>
      <c r="E102" s="151">
        <v>40</v>
      </c>
      <c r="F102" s="149" t="s">
        <v>361</v>
      </c>
      <c r="G102" s="147" t="s">
        <v>271</v>
      </c>
      <c r="H102" s="147" t="s">
        <v>287</v>
      </c>
      <c r="I102" s="147" t="s">
        <v>296</v>
      </c>
      <c r="J102" s="164">
        <v>80111620</v>
      </c>
      <c r="K102" s="147" t="s">
        <v>289</v>
      </c>
      <c r="L102" s="147" t="s">
        <v>83</v>
      </c>
      <c r="M102" s="147" t="s">
        <v>362</v>
      </c>
      <c r="N102" s="147" t="s">
        <v>142</v>
      </c>
      <c r="O102" s="147" t="s">
        <v>142</v>
      </c>
      <c r="P102" s="147" t="s">
        <v>71</v>
      </c>
      <c r="Q102" s="147">
        <v>4</v>
      </c>
      <c r="R102" s="147" t="s">
        <v>72</v>
      </c>
      <c r="S102" s="147" t="s">
        <v>156</v>
      </c>
      <c r="T102" s="147" t="s">
        <v>74</v>
      </c>
      <c r="U102" s="148">
        <v>24000000</v>
      </c>
      <c r="V102" s="148">
        <v>24000000</v>
      </c>
      <c r="W102" s="147" t="s">
        <v>75</v>
      </c>
      <c r="X102" s="147" t="s">
        <v>67</v>
      </c>
      <c r="Y102" s="147" t="s">
        <v>337</v>
      </c>
      <c r="Z102" s="147" t="s">
        <v>279</v>
      </c>
      <c r="AA102" s="147">
        <v>6012220601</v>
      </c>
      <c r="AB102" s="160" t="s">
        <v>338</v>
      </c>
      <c r="AC102" s="14"/>
      <c r="AD102" s="14"/>
      <c r="AE102" s="14"/>
      <c r="AF102" s="14"/>
      <c r="AG102" s="14"/>
      <c r="AH102" s="14"/>
      <c r="AI102" s="14"/>
      <c r="AJ102" s="14"/>
      <c r="AK102" s="14"/>
      <c r="AL102" s="14"/>
      <c r="AM102" s="14"/>
      <c r="AN102" s="14"/>
      <c r="AO102" s="14"/>
      <c r="AP102" s="14"/>
      <c r="AQ102" s="14"/>
      <c r="AR102" s="14"/>
      <c r="AS102" s="14">
        <v>21000000</v>
      </c>
      <c r="AT102" s="14"/>
      <c r="AU102" s="25"/>
      <c r="AV102" s="25">
        <v>6000000</v>
      </c>
      <c r="AW102" s="25"/>
      <c r="AX102" s="25">
        <v>6000000</v>
      </c>
      <c r="AY102" s="25"/>
      <c r="AZ102" s="28">
        <v>9000000</v>
      </c>
      <c r="BA102" s="33">
        <v>3000000</v>
      </c>
      <c r="BB102" s="33">
        <v>3000000</v>
      </c>
      <c r="BC102" s="18">
        <f t="shared" ref="BC102:BD102" si="96">AC102+AE102+AG102+AI102+AK102+AM102+AO102+AQ102+AS102+AU102+AW102+AY102+BA102</f>
        <v>24000000</v>
      </c>
      <c r="BD102" s="18">
        <f t="shared" si="96"/>
        <v>24000000</v>
      </c>
      <c r="BE102" s="19">
        <f t="shared" si="1"/>
        <v>0</v>
      </c>
      <c r="BF102" s="20">
        <f t="shared" si="2"/>
        <v>0</v>
      </c>
      <c r="BG102" s="20">
        <f t="shared" si="3"/>
        <v>0</v>
      </c>
    </row>
    <row r="103" spans="1:59" ht="14.25" customHeight="1">
      <c r="A103" s="147" t="s">
        <v>59</v>
      </c>
      <c r="B103" s="147" t="s">
        <v>268</v>
      </c>
      <c r="C103" s="151" t="s">
        <v>269</v>
      </c>
      <c r="D103" s="151" t="s">
        <v>62</v>
      </c>
      <c r="E103" s="151">
        <v>44</v>
      </c>
      <c r="F103" s="149" t="s">
        <v>363</v>
      </c>
      <c r="G103" s="147" t="s">
        <v>271</v>
      </c>
      <c r="H103" s="147" t="s">
        <v>287</v>
      </c>
      <c r="I103" s="147" t="s">
        <v>296</v>
      </c>
      <c r="J103" s="164">
        <v>80111620</v>
      </c>
      <c r="K103" s="147" t="s">
        <v>289</v>
      </c>
      <c r="L103" s="147" t="s">
        <v>83</v>
      </c>
      <c r="M103" s="147" t="s">
        <v>364</v>
      </c>
      <c r="N103" s="147" t="s">
        <v>142</v>
      </c>
      <c r="O103" s="147" t="s">
        <v>142</v>
      </c>
      <c r="P103" s="147" t="s">
        <v>71</v>
      </c>
      <c r="Q103" s="147">
        <v>4</v>
      </c>
      <c r="R103" s="147" t="s">
        <v>72</v>
      </c>
      <c r="S103" s="147" t="s">
        <v>156</v>
      </c>
      <c r="T103" s="147" t="s">
        <v>74</v>
      </c>
      <c r="U103" s="148">
        <v>0</v>
      </c>
      <c r="V103" s="148">
        <v>0</v>
      </c>
      <c r="W103" s="147" t="s">
        <v>75</v>
      </c>
      <c r="X103" s="147" t="s">
        <v>67</v>
      </c>
      <c r="Y103" s="147" t="s">
        <v>337</v>
      </c>
      <c r="Z103" s="147" t="s">
        <v>279</v>
      </c>
      <c r="AA103" s="147">
        <v>6012220601</v>
      </c>
      <c r="AB103" s="160" t="s">
        <v>338</v>
      </c>
      <c r="AC103" s="14"/>
      <c r="AD103" s="14"/>
      <c r="AE103" s="14"/>
      <c r="AF103" s="14"/>
      <c r="AG103" s="14"/>
      <c r="AH103" s="14"/>
      <c r="AI103" s="14"/>
      <c r="AJ103" s="14"/>
      <c r="AK103" s="14"/>
      <c r="AL103" s="14"/>
      <c r="AM103" s="14"/>
      <c r="AN103" s="14"/>
      <c r="AO103" s="14"/>
      <c r="AP103" s="14"/>
      <c r="AQ103" s="14"/>
      <c r="AR103" s="14"/>
      <c r="AS103" s="14"/>
      <c r="AT103" s="14"/>
      <c r="AU103" s="25"/>
      <c r="AV103" s="25"/>
      <c r="AW103" s="25"/>
      <c r="AX103" s="25"/>
      <c r="AY103" s="25"/>
      <c r="AZ103" s="28"/>
      <c r="BA103" s="17"/>
      <c r="BB103" s="17"/>
      <c r="BC103" s="18">
        <f t="shared" ref="BC103:BD103" si="97">AC103+AE103+AG103+AI103+AK103+AM103+AO103+AQ103+AS103+AU103+AW103+AY103+BA103</f>
        <v>0</v>
      </c>
      <c r="BD103" s="18">
        <f t="shared" si="97"/>
        <v>0</v>
      </c>
      <c r="BE103" s="19">
        <f t="shared" si="1"/>
        <v>0</v>
      </c>
      <c r="BF103" s="20">
        <f t="shared" si="2"/>
        <v>0</v>
      </c>
      <c r="BG103" s="20">
        <f t="shared" si="3"/>
        <v>0</v>
      </c>
    </row>
    <row r="104" spans="1:59" ht="14.25" customHeight="1">
      <c r="A104" s="147" t="s">
        <v>59</v>
      </c>
      <c r="B104" s="147" t="s">
        <v>268</v>
      </c>
      <c r="C104" s="151" t="s">
        <v>269</v>
      </c>
      <c r="D104" s="151" t="s">
        <v>62</v>
      </c>
      <c r="E104" s="151">
        <v>44</v>
      </c>
      <c r="F104" s="149" t="s">
        <v>365</v>
      </c>
      <c r="G104" s="147" t="s">
        <v>271</v>
      </c>
      <c r="H104" s="147" t="s">
        <v>272</v>
      </c>
      <c r="I104" s="147" t="s">
        <v>282</v>
      </c>
      <c r="J104" s="164">
        <v>80111620</v>
      </c>
      <c r="K104" s="147" t="s">
        <v>274</v>
      </c>
      <c r="L104" s="147" t="s">
        <v>83</v>
      </c>
      <c r="M104" s="147" t="s">
        <v>366</v>
      </c>
      <c r="N104" s="147" t="s">
        <v>71</v>
      </c>
      <c r="O104" s="147" t="s">
        <v>71</v>
      </c>
      <c r="P104" s="147" t="s">
        <v>180</v>
      </c>
      <c r="Q104" s="147">
        <v>3</v>
      </c>
      <c r="R104" s="147" t="s">
        <v>72</v>
      </c>
      <c r="S104" s="147" t="s">
        <v>252</v>
      </c>
      <c r="T104" s="147" t="s">
        <v>74</v>
      </c>
      <c r="U104" s="148">
        <v>21000000</v>
      </c>
      <c r="V104" s="148">
        <v>21000000</v>
      </c>
      <c r="W104" s="147" t="s">
        <v>75</v>
      </c>
      <c r="X104" s="147" t="s">
        <v>67</v>
      </c>
      <c r="Y104" s="147" t="s">
        <v>337</v>
      </c>
      <c r="Z104" s="147" t="s">
        <v>279</v>
      </c>
      <c r="AA104" s="147">
        <v>6012220601</v>
      </c>
      <c r="AB104" s="160" t="s">
        <v>338</v>
      </c>
      <c r="AC104" s="14"/>
      <c r="AD104" s="14"/>
      <c r="AE104" s="14"/>
      <c r="AF104" s="14"/>
      <c r="AG104" s="14"/>
      <c r="AH104" s="14"/>
      <c r="AI104" s="14"/>
      <c r="AJ104" s="14"/>
      <c r="AK104" s="14"/>
      <c r="AL104" s="14"/>
      <c r="AM104" s="14"/>
      <c r="AN104" s="14"/>
      <c r="AO104" s="14"/>
      <c r="AP104" s="14"/>
      <c r="AQ104" s="14"/>
      <c r="AR104" s="14"/>
      <c r="AS104" s="14"/>
      <c r="AT104" s="14"/>
      <c r="AU104" s="25">
        <v>21000000</v>
      </c>
      <c r="AV104" s="25"/>
      <c r="AW104" s="25"/>
      <c r="AX104" s="25">
        <v>7000000</v>
      </c>
      <c r="AY104" s="25"/>
      <c r="AZ104" s="28">
        <v>14000000</v>
      </c>
      <c r="BA104" s="17"/>
      <c r="BB104" s="17"/>
      <c r="BC104" s="18">
        <f t="shared" ref="BC104:BD104" si="98">AC104+AE104+AG104+AI104+AK104+AM104+AO104+AQ104+AS104+AU104+AW104+AY104+BA104</f>
        <v>21000000</v>
      </c>
      <c r="BD104" s="18">
        <f t="shared" si="98"/>
        <v>21000000</v>
      </c>
      <c r="BE104" s="19">
        <f t="shared" si="1"/>
        <v>0</v>
      </c>
      <c r="BF104" s="20">
        <f t="shared" si="2"/>
        <v>0</v>
      </c>
      <c r="BG104" s="20">
        <f t="shared" si="3"/>
        <v>0</v>
      </c>
    </row>
    <row r="105" spans="1:59" ht="14.25" customHeight="1">
      <c r="A105" s="147" t="s">
        <v>59</v>
      </c>
      <c r="B105" s="147" t="s">
        <v>268</v>
      </c>
      <c r="C105" s="151" t="s">
        <v>269</v>
      </c>
      <c r="D105" s="151" t="s">
        <v>62</v>
      </c>
      <c r="E105" s="151">
        <v>44</v>
      </c>
      <c r="F105" s="149" t="s">
        <v>367</v>
      </c>
      <c r="G105" s="147" t="s">
        <v>271</v>
      </c>
      <c r="H105" s="147" t="s">
        <v>287</v>
      </c>
      <c r="I105" s="147" t="s">
        <v>296</v>
      </c>
      <c r="J105" s="164">
        <v>80111620</v>
      </c>
      <c r="K105" s="147" t="s">
        <v>289</v>
      </c>
      <c r="L105" s="147" t="s">
        <v>83</v>
      </c>
      <c r="M105" s="147" t="s">
        <v>368</v>
      </c>
      <c r="N105" s="147" t="s">
        <v>71</v>
      </c>
      <c r="O105" s="147" t="s">
        <v>71</v>
      </c>
      <c r="P105" s="147" t="s">
        <v>71</v>
      </c>
      <c r="Q105" s="147">
        <v>4</v>
      </c>
      <c r="R105" s="147" t="s">
        <v>72</v>
      </c>
      <c r="S105" s="147" t="s">
        <v>252</v>
      </c>
      <c r="T105" s="147" t="s">
        <v>74</v>
      </c>
      <c r="U105" s="148">
        <v>13141800</v>
      </c>
      <c r="V105" s="148">
        <v>13141800</v>
      </c>
      <c r="W105" s="147" t="s">
        <v>75</v>
      </c>
      <c r="X105" s="147" t="s">
        <v>67</v>
      </c>
      <c r="Y105" s="147" t="s">
        <v>337</v>
      </c>
      <c r="Z105" s="147" t="s">
        <v>279</v>
      </c>
      <c r="AA105" s="147">
        <v>6012220601</v>
      </c>
      <c r="AB105" s="160" t="s">
        <v>338</v>
      </c>
      <c r="AC105" s="14"/>
      <c r="AD105" s="14"/>
      <c r="AE105" s="14"/>
      <c r="AF105" s="14"/>
      <c r="AG105" s="14"/>
      <c r="AH105" s="14"/>
      <c r="AI105" s="14"/>
      <c r="AJ105" s="14"/>
      <c r="AK105" s="14"/>
      <c r="AL105" s="14"/>
      <c r="AM105" s="14"/>
      <c r="AN105" s="14"/>
      <c r="AO105" s="14"/>
      <c r="AP105" s="14"/>
      <c r="AQ105" s="14"/>
      <c r="AR105" s="14"/>
      <c r="AS105" s="14"/>
      <c r="AT105" s="14"/>
      <c r="AU105" s="28">
        <v>13141800</v>
      </c>
      <c r="AV105" s="25"/>
      <c r="AW105" s="25"/>
      <c r="AX105" s="25">
        <v>3285450</v>
      </c>
      <c r="AY105" s="25"/>
      <c r="AZ105" s="28">
        <f>6570900+3285450</f>
        <v>9856350</v>
      </c>
      <c r="BA105" s="17"/>
      <c r="BB105" s="17"/>
      <c r="BC105" s="18">
        <f t="shared" ref="BC105:BD105" si="99">AC105+AE105+AG105+AI105+AK105+AM105+AO105+AQ105+AS105+AU105+AW105+AY105+BA105</f>
        <v>13141800</v>
      </c>
      <c r="BD105" s="18">
        <f t="shared" si="99"/>
        <v>13141800</v>
      </c>
      <c r="BE105" s="19">
        <f t="shared" si="1"/>
        <v>0</v>
      </c>
      <c r="BF105" s="20">
        <f t="shared" si="2"/>
        <v>0</v>
      </c>
      <c r="BG105" s="20">
        <f t="shared" si="3"/>
        <v>0</v>
      </c>
    </row>
    <row r="106" spans="1:59" ht="14.25" customHeight="1">
      <c r="A106" s="147" t="s">
        <v>59</v>
      </c>
      <c r="B106" s="147" t="s">
        <v>268</v>
      </c>
      <c r="C106" s="151" t="s">
        <v>269</v>
      </c>
      <c r="D106" s="151" t="s">
        <v>62</v>
      </c>
      <c r="E106" s="151">
        <v>47</v>
      </c>
      <c r="F106" s="149" t="s">
        <v>369</v>
      </c>
      <c r="G106" s="147" t="s">
        <v>271</v>
      </c>
      <c r="H106" s="147" t="s">
        <v>272</v>
      </c>
      <c r="I106" s="147" t="s">
        <v>273</v>
      </c>
      <c r="J106" s="164">
        <v>80141607</v>
      </c>
      <c r="K106" s="147" t="s">
        <v>274</v>
      </c>
      <c r="L106" s="147" t="s">
        <v>283</v>
      </c>
      <c r="M106" s="147" t="s">
        <v>370</v>
      </c>
      <c r="N106" s="147" t="s">
        <v>71</v>
      </c>
      <c r="O106" s="147" t="s">
        <v>71</v>
      </c>
      <c r="P106" s="147" t="s">
        <v>180</v>
      </c>
      <c r="Q106" s="147">
        <v>3</v>
      </c>
      <c r="R106" s="147" t="s">
        <v>72</v>
      </c>
      <c r="S106" s="147" t="s">
        <v>252</v>
      </c>
      <c r="T106" s="147" t="s">
        <v>74</v>
      </c>
      <c r="U106" s="148">
        <v>22047005</v>
      </c>
      <c r="V106" s="148">
        <v>22047005</v>
      </c>
      <c r="W106" s="147" t="s">
        <v>75</v>
      </c>
      <c r="X106" s="147" t="s">
        <v>67</v>
      </c>
      <c r="Y106" s="147" t="s">
        <v>337</v>
      </c>
      <c r="Z106" s="147" t="s">
        <v>279</v>
      </c>
      <c r="AA106" s="147">
        <v>6012220601</v>
      </c>
      <c r="AB106" s="160" t="s">
        <v>338</v>
      </c>
      <c r="AC106" s="14"/>
      <c r="AD106" s="14"/>
      <c r="AE106" s="14"/>
      <c r="AF106" s="14"/>
      <c r="AG106" s="14"/>
      <c r="AH106" s="14"/>
      <c r="AI106" s="14"/>
      <c r="AJ106" s="14"/>
      <c r="AK106" s="14"/>
      <c r="AL106" s="14"/>
      <c r="AM106" s="14"/>
      <c r="AN106" s="14"/>
      <c r="AO106" s="14"/>
      <c r="AP106" s="14"/>
      <c r="AQ106" s="14"/>
      <c r="AR106" s="14"/>
      <c r="AS106" s="14"/>
      <c r="AT106" s="14"/>
      <c r="AU106" s="25">
        <v>22047005</v>
      </c>
      <c r="AV106" s="25"/>
      <c r="AW106" s="25"/>
      <c r="AX106" s="25">
        <v>22047005</v>
      </c>
      <c r="AY106" s="25"/>
      <c r="AZ106" s="28"/>
      <c r="BA106" s="17"/>
      <c r="BB106" s="17"/>
      <c r="BC106" s="18">
        <f t="shared" ref="BC106:BD106" si="100">AC106+AE106+AG106+AI106+AK106+AM106+AO106+AQ106+AS106+AU106+AW106+AY106+BA106</f>
        <v>22047005</v>
      </c>
      <c r="BD106" s="18">
        <f t="shared" si="100"/>
        <v>22047005</v>
      </c>
      <c r="BE106" s="19">
        <f t="shared" si="1"/>
        <v>0</v>
      </c>
      <c r="BF106" s="20">
        <f t="shared" si="2"/>
        <v>0</v>
      </c>
      <c r="BG106" s="20">
        <f t="shared" si="3"/>
        <v>0</v>
      </c>
    </row>
    <row r="107" spans="1:59" ht="14.25" customHeight="1">
      <c r="A107" s="147" t="s">
        <v>59</v>
      </c>
      <c r="B107" s="147" t="s">
        <v>371</v>
      </c>
      <c r="C107" s="151" t="s">
        <v>372</v>
      </c>
      <c r="D107" s="151" t="s">
        <v>62</v>
      </c>
      <c r="E107" s="151" t="s">
        <v>114</v>
      </c>
      <c r="F107" s="149" t="s">
        <v>373</v>
      </c>
      <c r="G107" s="147" t="s">
        <v>374</v>
      </c>
      <c r="H107" s="147" t="s">
        <v>375</v>
      </c>
      <c r="I107" s="147" t="s">
        <v>376</v>
      </c>
      <c r="J107" s="164">
        <v>80111620</v>
      </c>
      <c r="K107" s="147" t="s">
        <v>377</v>
      </c>
      <c r="L107" s="147" t="s">
        <v>83</v>
      </c>
      <c r="M107" s="147" t="s">
        <v>378</v>
      </c>
      <c r="N107" s="179" t="s">
        <v>91</v>
      </c>
      <c r="O107" s="179" t="s">
        <v>91</v>
      </c>
      <c r="P107" s="179" t="s">
        <v>91</v>
      </c>
      <c r="Q107" s="147">
        <v>11</v>
      </c>
      <c r="R107" s="147" t="s">
        <v>72</v>
      </c>
      <c r="S107" s="147" t="s">
        <v>73</v>
      </c>
      <c r="T107" s="147" t="s">
        <v>74</v>
      </c>
      <c r="U107" s="148">
        <v>69300000</v>
      </c>
      <c r="V107" s="148">
        <v>69300000</v>
      </c>
      <c r="W107" s="147" t="s">
        <v>75</v>
      </c>
      <c r="X107" s="147" t="s">
        <v>67</v>
      </c>
      <c r="Y107" s="147" t="s">
        <v>147</v>
      </c>
      <c r="Z107" s="147" t="s">
        <v>148</v>
      </c>
      <c r="AA107" s="147">
        <v>6012220601</v>
      </c>
      <c r="AB107" s="160" t="s">
        <v>149</v>
      </c>
      <c r="AC107" s="14">
        <v>69300000</v>
      </c>
      <c r="AD107" s="14"/>
      <c r="AE107" s="14"/>
      <c r="AF107" s="14">
        <v>1680000</v>
      </c>
      <c r="AG107" s="14"/>
      <c r="AH107" s="14">
        <v>6300000</v>
      </c>
      <c r="AI107" s="14"/>
      <c r="AJ107" s="14">
        <v>6300000</v>
      </c>
      <c r="AK107" s="14"/>
      <c r="AL107" s="14">
        <v>6300000</v>
      </c>
      <c r="AM107" s="14"/>
      <c r="AN107" s="14">
        <v>6300000</v>
      </c>
      <c r="AO107" s="14"/>
      <c r="AP107" s="14">
        <v>6300000</v>
      </c>
      <c r="AQ107" s="14"/>
      <c r="AR107" s="14">
        <v>6300000</v>
      </c>
      <c r="AS107" s="14"/>
      <c r="AT107" s="14">
        <v>6300000</v>
      </c>
      <c r="AU107" s="25"/>
      <c r="AV107" s="25">
        <v>6300000</v>
      </c>
      <c r="AW107" s="25"/>
      <c r="AX107" s="25">
        <v>6300000</v>
      </c>
      <c r="AY107" s="25"/>
      <c r="AZ107" s="28">
        <v>10920000</v>
      </c>
      <c r="BA107" s="17"/>
      <c r="BB107" s="17"/>
      <c r="BC107" s="18">
        <f t="shared" ref="BC107:BD107" si="101">AC107+AE107+AG107+AI107+AK107+AM107+AO107+AQ107+AS107+AU107+AW107+AY107+BA107</f>
        <v>69300000</v>
      </c>
      <c r="BD107" s="18">
        <f t="shared" si="101"/>
        <v>69300000</v>
      </c>
      <c r="BE107" s="19">
        <f t="shared" si="1"/>
        <v>0</v>
      </c>
      <c r="BF107" s="20">
        <f t="shared" si="2"/>
        <v>0</v>
      </c>
      <c r="BG107" s="20">
        <f t="shared" si="3"/>
        <v>0</v>
      </c>
    </row>
    <row r="108" spans="1:59" ht="14.25" customHeight="1">
      <c r="A108" s="147" t="s">
        <v>59</v>
      </c>
      <c r="B108" s="147" t="s">
        <v>371</v>
      </c>
      <c r="C108" s="151" t="s">
        <v>372</v>
      </c>
      <c r="D108" s="151" t="s">
        <v>62</v>
      </c>
      <c r="E108" s="151">
        <v>36</v>
      </c>
      <c r="F108" s="149" t="s">
        <v>379</v>
      </c>
      <c r="G108" s="147" t="s">
        <v>374</v>
      </c>
      <c r="H108" s="147" t="s">
        <v>375</v>
      </c>
      <c r="I108" s="147" t="s">
        <v>380</v>
      </c>
      <c r="J108" s="164">
        <v>80111620</v>
      </c>
      <c r="K108" s="147" t="s">
        <v>377</v>
      </c>
      <c r="L108" s="147" t="s">
        <v>83</v>
      </c>
      <c r="M108" s="147" t="s">
        <v>381</v>
      </c>
      <c r="N108" s="179" t="s">
        <v>91</v>
      </c>
      <c r="O108" s="179" t="s">
        <v>91</v>
      </c>
      <c r="P108" s="179" t="s">
        <v>91</v>
      </c>
      <c r="Q108" s="147">
        <v>11</v>
      </c>
      <c r="R108" s="147" t="s">
        <v>72</v>
      </c>
      <c r="S108" s="147" t="s">
        <v>73</v>
      </c>
      <c r="T108" s="147" t="s">
        <v>74</v>
      </c>
      <c r="U108" s="148">
        <v>79566667</v>
      </c>
      <c r="V108" s="148">
        <v>79566667</v>
      </c>
      <c r="W108" s="147" t="s">
        <v>75</v>
      </c>
      <c r="X108" s="147" t="s">
        <v>67</v>
      </c>
      <c r="Y108" s="147" t="s">
        <v>147</v>
      </c>
      <c r="Z108" s="147" t="s">
        <v>148</v>
      </c>
      <c r="AA108" s="147">
        <v>6012220601</v>
      </c>
      <c r="AB108" s="160" t="s">
        <v>149</v>
      </c>
      <c r="AC108" s="14">
        <v>63000000</v>
      </c>
      <c r="AD108" s="14"/>
      <c r="AE108" s="14"/>
      <c r="AF108" s="14">
        <v>2566667</v>
      </c>
      <c r="AG108" s="14"/>
      <c r="AH108" s="14">
        <v>7000000</v>
      </c>
      <c r="AI108" s="14"/>
      <c r="AJ108" s="14">
        <v>7000000</v>
      </c>
      <c r="AK108" s="14"/>
      <c r="AL108" s="14">
        <v>7000000</v>
      </c>
      <c r="AM108" s="14"/>
      <c r="AN108" s="14">
        <v>7000000</v>
      </c>
      <c r="AO108" s="14"/>
      <c r="AP108" s="14">
        <v>7000000</v>
      </c>
      <c r="AQ108" s="14"/>
      <c r="AR108" s="14">
        <v>7000000</v>
      </c>
      <c r="AS108" s="14">
        <v>16566667</v>
      </c>
      <c r="AT108" s="14">
        <v>7000000</v>
      </c>
      <c r="AU108" s="15"/>
      <c r="AV108" s="15">
        <v>7000000</v>
      </c>
      <c r="AW108" s="15"/>
      <c r="AX108" s="15">
        <v>7000000</v>
      </c>
      <c r="AY108" s="15"/>
      <c r="AZ108" s="15">
        <v>14000000</v>
      </c>
      <c r="BA108" s="17"/>
      <c r="BB108" s="17"/>
      <c r="BC108" s="18">
        <f t="shared" ref="BC108:BD108" si="102">AC108+AE108+AG108+AI108+AK108+AM108+AO108+AQ108+AS108+AU108+AW108+AY108+BA108</f>
        <v>79566667</v>
      </c>
      <c r="BD108" s="18">
        <f t="shared" si="102"/>
        <v>79566667</v>
      </c>
      <c r="BE108" s="19">
        <f t="shared" si="1"/>
        <v>0</v>
      </c>
      <c r="BF108" s="20">
        <f t="shared" si="2"/>
        <v>0</v>
      </c>
      <c r="BG108" s="20">
        <f t="shared" si="3"/>
        <v>0</v>
      </c>
    </row>
    <row r="109" spans="1:59" ht="14.25" customHeight="1">
      <c r="A109" s="147" t="s">
        <v>59</v>
      </c>
      <c r="B109" s="147" t="s">
        <v>371</v>
      </c>
      <c r="C109" s="151" t="s">
        <v>372</v>
      </c>
      <c r="D109" s="151" t="s">
        <v>62</v>
      </c>
      <c r="E109" s="151" t="s">
        <v>114</v>
      </c>
      <c r="F109" s="149" t="s">
        <v>382</v>
      </c>
      <c r="G109" s="147" t="s">
        <v>374</v>
      </c>
      <c r="H109" s="147" t="s">
        <v>375</v>
      </c>
      <c r="I109" s="147" t="s">
        <v>380</v>
      </c>
      <c r="J109" s="164">
        <v>80111620</v>
      </c>
      <c r="K109" s="147" t="s">
        <v>377</v>
      </c>
      <c r="L109" s="147" t="s">
        <v>83</v>
      </c>
      <c r="M109" s="147" t="s">
        <v>383</v>
      </c>
      <c r="N109" s="179" t="s">
        <v>91</v>
      </c>
      <c r="O109" s="179" t="s">
        <v>91</v>
      </c>
      <c r="P109" s="179" t="s">
        <v>91</v>
      </c>
      <c r="Q109" s="147">
        <v>11</v>
      </c>
      <c r="R109" s="147" t="s">
        <v>72</v>
      </c>
      <c r="S109" s="147" t="s">
        <v>73</v>
      </c>
      <c r="T109" s="147" t="s">
        <v>74</v>
      </c>
      <c r="U109" s="148">
        <v>56100000</v>
      </c>
      <c r="V109" s="148">
        <v>56100000</v>
      </c>
      <c r="W109" s="147" t="s">
        <v>75</v>
      </c>
      <c r="X109" s="147" t="s">
        <v>67</v>
      </c>
      <c r="Y109" s="147" t="s">
        <v>147</v>
      </c>
      <c r="Z109" s="147" t="s">
        <v>148</v>
      </c>
      <c r="AA109" s="147">
        <v>6012220601</v>
      </c>
      <c r="AB109" s="160" t="s">
        <v>149</v>
      </c>
      <c r="AC109" s="14">
        <v>56100000</v>
      </c>
      <c r="AD109" s="14"/>
      <c r="AE109" s="14"/>
      <c r="AF109" s="14">
        <v>510000</v>
      </c>
      <c r="AG109" s="14"/>
      <c r="AH109" s="14">
        <v>5100000</v>
      </c>
      <c r="AI109" s="14"/>
      <c r="AJ109" s="14">
        <v>5100000</v>
      </c>
      <c r="AK109" s="14"/>
      <c r="AL109" s="14">
        <v>5100000</v>
      </c>
      <c r="AM109" s="14"/>
      <c r="AN109" s="14">
        <v>5100000</v>
      </c>
      <c r="AO109" s="14"/>
      <c r="AP109" s="14">
        <v>5100000</v>
      </c>
      <c r="AQ109" s="14"/>
      <c r="AR109" s="14">
        <v>5100000</v>
      </c>
      <c r="AS109" s="14"/>
      <c r="AT109" s="14">
        <v>5100000</v>
      </c>
      <c r="AU109" s="25"/>
      <c r="AV109" s="25">
        <v>5100000</v>
      </c>
      <c r="AW109" s="25"/>
      <c r="AX109" s="25">
        <v>5100000</v>
      </c>
      <c r="AY109" s="25"/>
      <c r="AZ109" s="28">
        <v>9690000</v>
      </c>
      <c r="BA109" s="17"/>
      <c r="BB109" s="17"/>
      <c r="BC109" s="18">
        <f t="shared" ref="BC109:BD109" si="103">AC109+AE109+AG109+AI109+AK109+AM109+AO109+AQ109+AS109+AU109+AW109+AY109+BA109</f>
        <v>56100000</v>
      </c>
      <c r="BD109" s="18">
        <f t="shared" si="103"/>
        <v>56100000</v>
      </c>
      <c r="BE109" s="19">
        <f t="shared" si="1"/>
        <v>0</v>
      </c>
      <c r="BF109" s="20">
        <f t="shared" si="2"/>
        <v>0</v>
      </c>
      <c r="BG109" s="20">
        <f t="shared" si="3"/>
        <v>0</v>
      </c>
    </row>
    <row r="110" spans="1:59" ht="14.25" customHeight="1">
      <c r="A110" s="147" t="s">
        <v>59</v>
      </c>
      <c r="B110" s="147" t="s">
        <v>371</v>
      </c>
      <c r="C110" s="151" t="s">
        <v>372</v>
      </c>
      <c r="D110" s="151" t="s">
        <v>62</v>
      </c>
      <c r="E110" s="151" t="s">
        <v>114</v>
      </c>
      <c r="F110" s="149" t="s">
        <v>384</v>
      </c>
      <c r="G110" s="147" t="s">
        <v>374</v>
      </c>
      <c r="H110" s="147" t="s">
        <v>375</v>
      </c>
      <c r="I110" s="147" t="s">
        <v>376</v>
      </c>
      <c r="J110" s="164">
        <v>80111620</v>
      </c>
      <c r="K110" s="147" t="s">
        <v>377</v>
      </c>
      <c r="L110" s="147" t="s">
        <v>83</v>
      </c>
      <c r="M110" s="147" t="s">
        <v>385</v>
      </c>
      <c r="N110" s="179" t="s">
        <v>91</v>
      </c>
      <c r="O110" s="179" t="s">
        <v>91</v>
      </c>
      <c r="P110" s="179" t="s">
        <v>91</v>
      </c>
      <c r="Q110" s="147">
        <v>11</v>
      </c>
      <c r="R110" s="147" t="s">
        <v>72</v>
      </c>
      <c r="S110" s="147" t="s">
        <v>73</v>
      </c>
      <c r="T110" s="147" t="s">
        <v>74</v>
      </c>
      <c r="U110" s="148">
        <v>19943000</v>
      </c>
      <c r="V110" s="148">
        <v>19943000</v>
      </c>
      <c r="W110" s="147" t="s">
        <v>75</v>
      </c>
      <c r="X110" s="147" t="s">
        <v>67</v>
      </c>
      <c r="Y110" s="147" t="s">
        <v>147</v>
      </c>
      <c r="Z110" s="147" t="s">
        <v>148</v>
      </c>
      <c r="AA110" s="147">
        <v>6012220601</v>
      </c>
      <c r="AB110" s="160" t="s">
        <v>149</v>
      </c>
      <c r="AC110" s="14">
        <v>19943000</v>
      </c>
      <c r="AD110" s="14"/>
      <c r="AE110" s="14"/>
      <c r="AF110" s="14">
        <v>830000</v>
      </c>
      <c r="AG110" s="14"/>
      <c r="AH110" s="14">
        <v>8300000</v>
      </c>
      <c r="AI110" s="14"/>
      <c r="AJ110" s="14">
        <v>8300000</v>
      </c>
      <c r="AK110" s="14"/>
      <c r="AL110" s="14"/>
      <c r="AM110" s="14"/>
      <c r="AN110" s="14"/>
      <c r="AO110" s="14"/>
      <c r="AP110" s="14"/>
      <c r="AQ110" s="14"/>
      <c r="AR110" s="14"/>
      <c r="AS110" s="14"/>
      <c r="AT110" s="14"/>
      <c r="AU110" s="25"/>
      <c r="AV110" s="25"/>
      <c r="AW110" s="25"/>
      <c r="AX110" s="28">
        <v>2513000</v>
      </c>
      <c r="AY110" s="25"/>
      <c r="AZ110" s="28"/>
      <c r="BA110" s="17"/>
      <c r="BB110" s="17"/>
      <c r="BC110" s="18">
        <f t="shared" ref="BC110:BD110" si="104">AC110+AE110+AG110+AI110+AK110+AM110+AO110+AQ110+AS110+AU110+AW110+AY110+BA110</f>
        <v>19943000</v>
      </c>
      <c r="BD110" s="18">
        <f t="shared" si="104"/>
        <v>19943000</v>
      </c>
      <c r="BE110" s="19">
        <f t="shared" si="1"/>
        <v>0</v>
      </c>
      <c r="BF110" s="20">
        <f t="shared" si="2"/>
        <v>0</v>
      </c>
      <c r="BG110" s="20">
        <f t="shared" si="3"/>
        <v>0</v>
      </c>
    </row>
    <row r="111" spans="1:59" ht="14.25" customHeight="1">
      <c r="A111" s="147" t="s">
        <v>59</v>
      </c>
      <c r="B111" s="147" t="s">
        <v>371</v>
      </c>
      <c r="C111" s="151" t="s">
        <v>372</v>
      </c>
      <c r="D111" s="151" t="s">
        <v>62</v>
      </c>
      <c r="E111" s="151">
        <v>2</v>
      </c>
      <c r="F111" s="149" t="s">
        <v>386</v>
      </c>
      <c r="G111" s="147" t="s">
        <v>374</v>
      </c>
      <c r="H111" s="147" t="s">
        <v>375</v>
      </c>
      <c r="I111" s="147" t="s">
        <v>380</v>
      </c>
      <c r="J111" s="164">
        <v>80111620</v>
      </c>
      <c r="K111" s="147" t="s">
        <v>377</v>
      </c>
      <c r="L111" s="147" t="s">
        <v>83</v>
      </c>
      <c r="M111" s="147" t="s">
        <v>387</v>
      </c>
      <c r="N111" s="179" t="s">
        <v>91</v>
      </c>
      <c r="O111" s="179" t="s">
        <v>91</v>
      </c>
      <c r="P111" s="179" t="s">
        <v>91</v>
      </c>
      <c r="Q111" s="147">
        <v>11</v>
      </c>
      <c r="R111" s="147" t="s">
        <v>72</v>
      </c>
      <c r="S111" s="147" t="s">
        <v>73</v>
      </c>
      <c r="T111" s="147" t="s">
        <v>74</v>
      </c>
      <c r="U111" s="148">
        <v>63423000</v>
      </c>
      <c r="V111" s="148">
        <v>63423000</v>
      </c>
      <c r="W111" s="147" t="s">
        <v>75</v>
      </c>
      <c r="X111" s="147" t="s">
        <v>67</v>
      </c>
      <c r="Y111" s="147" t="s">
        <v>147</v>
      </c>
      <c r="Z111" s="147" t="s">
        <v>148</v>
      </c>
      <c r="AA111" s="147">
        <v>6012220601</v>
      </c>
      <c r="AB111" s="160" t="s">
        <v>149</v>
      </c>
      <c r="AC111" s="14">
        <v>63057000</v>
      </c>
      <c r="AD111" s="14"/>
      <c r="AE111" s="14"/>
      <c r="AF111" s="14"/>
      <c r="AG111" s="14"/>
      <c r="AH111" s="14"/>
      <c r="AI111" s="14"/>
      <c r="AJ111" s="14"/>
      <c r="AK111" s="14"/>
      <c r="AL111" s="14">
        <v>8300000</v>
      </c>
      <c r="AM111" s="14"/>
      <c r="AN111" s="14">
        <v>8300000</v>
      </c>
      <c r="AO111" s="14"/>
      <c r="AP111" s="14">
        <v>8300000</v>
      </c>
      <c r="AQ111" s="14"/>
      <c r="AR111" s="14">
        <v>8300000</v>
      </c>
      <c r="AS111" s="14"/>
      <c r="AT111" s="14">
        <v>8300000</v>
      </c>
      <c r="AU111" s="15"/>
      <c r="AV111" s="15">
        <v>8300000</v>
      </c>
      <c r="AW111" s="15">
        <v>366000</v>
      </c>
      <c r="AX111" s="15">
        <v>8300000</v>
      </c>
      <c r="AY111" s="15"/>
      <c r="AZ111" s="15">
        <v>5323000</v>
      </c>
      <c r="BA111" s="17"/>
      <c r="BB111" s="17"/>
      <c r="BC111" s="18">
        <f t="shared" ref="BC111:BD111" si="105">AC111+AE111+AG111+AI111+AK111+AM111+AO111+AQ111+AS111+AU111+AW111+AY111+BA111</f>
        <v>63423000</v>
      </c>
      <c r="BD111" s="18">
        <f t="shared" si="105"/>
        <v>63423000</v>
      </c>
      <c r="BE111" s="19">
        <f t="shared" si="1"/>
        <v>0</v>
      </c>
      <c r="BF111" s="20">
        <f t="shared" si="2"/>
        <v>0</v>
      </c>
      <c r="BG111" s="20">
        <f t="shared" si="3"/>
        <v>0</v>
      </c>
    </row>
    <row r="112" spans="1:59" ht="14.25" customHeight="1">
      <c r="A112" s="147" t="s">
        <v>59</v>
      </c>
      <c r="B112" s="147" t="s">
        <v>371</v>
      </c>
      <c r="C112" s="151" t="s">
        <v>372</v>
      </c>
      <c r="D112" s="151" t="s">
        <v>62</v>
      </c>
      <c r="E112" s="151">
        <v>36</v>
      </c>
      <c r="F112" s="149" t="s">
        <v>388</v>
      </c>
      <c r="G112" s="147" t="s">
        <v>389</v>
      </c>
      <c r="H112" s="147" t="s">
        <v>390</v>
      </c>
      <c r="I112" s="147" t="s">
        <v>391</v>
      </c>
      <c r="J112" s="164">
        <v>80111620</v>
      </c>
      <c r="K112" s="147" t="s">
        <v>392</v>
      </c>
      <c r="L112" s="147" t="s">
        <v>83</v>
      </c>
      <c r="M112" s="147" t="s">
        <v>393</v>
      </c>
      <c r="N112" s="179" t="s">
        <v>91</v>
      </c>
      <c r="O112" s="179" t="s">
        <v>91</v>
      </c>
      <c r="P112" s="179" t="s">
        <v>91</v>
      </c>
      <c r="Q112" s="147">
        <v>11</v>
      </c>
      <c r="R112" s="147" t="s">
        <v>72</v>
      </c>
      <c r="S112" s="147" t="s">
        <v>73</v>
      </c>
      <c r="T112" s="147" t="s">
        <v>74</v>
      </c>
      <c r="U112" s="148">
        <v>120202500</v>
      </c>
      <c r="V112" s="148">
        <v>120202500</v>
      </c>
      <c r="W112" s="147" t="s">
        <v>75</v>
      </c>
      <c r="X112" s="147" t="s">
        <v>67</v>
      </c>
      <c r="Y112" s="147" t="s">
        <v>147</v>
      </c>
      <c r="Z112" s="147" t="s">
        <v>148</v>
      </c>
      <c r="AA112" s="147">
        <v>6012220601</v>
      </c>
      <c r="AB112" s="160" t="s">
        <v>149</v>
      </c>
      <c r="AC112" s="14">
        <v>84600000</v>
      </c>
      <c r="AD112" s="14"/>
      <c r="AE112" s="14"/>
      <c r="AF112" s="14">
        <v>3877500</v>
      </c>
      <c r="AG112" s="14"/>
      <c r="AH112" s="14">
        <v>10575000</v>
      </c>
      <c r="AI112" s="14"/>
      <c r="AJ112" s="14">
        <v>10575000</v>
      </c>
      <c r="AK112" s="14"/>
      <c r="AL112" s="14">
        <v>10575000</v>
      </c>
      <c r="AM112" s="14"/>
      <c r="AN112" s="14">
        <v>10575000</v>
      </c>
      <c r="AO112" s="14"/>
      <c r="AP112" s="14">
        <v>10575000</v>
      </c>
      <c r="AQ112" s="14"/>
      <c r="AR112" s="14">
        <v>10575000</v>
      </c>
      <c r="AS112" s="14">
        <v>35602500</v>
      </c>
      <c r="AT112" s="14">
        <v>10575000</v>
      </c>
      <c r="AU112" s="15"/>
      <c r="AV112" s="15">
        <v>10575000</v>
      </c>
      <c r="AW112" s="15"/>
      <c r="AX112" s="15">
        <v>10575000</v>
      </c>
      <c r="AY112" s="15"/>
      <c r="AZ112" s="15">
        <v>21150000</v>
      </c>
      <c r="BA112" s="17"/>
      <c r="BB112" s="17"/>
      <c r="BC112" s="18">
        <f t="shared" ref="BC112:BD112" si="106">AC112+AE112+AG112+AI112+AK112+AM112+AO112+AQ112+AS112+AU112+AW112+AY112+BA112</f>
        <v>120202500</v>
      </c>
      <c r="BD112" s="18">
        <f t="shared" si="106"/>
        <v>120202500</v>
      </c>
      <c r="BE112" s="19">
        <f t="shared" si="1"/>
        <v>0</v>
      </c>
      <c r="BF112" s="20">
        <f t="shared" si="2"/>
        <v>0</v>
      </c>
      <c r="BG112" s="20">
        <f t="shared" si="3"/>
        <v>0</v>
      </c>
    </row>
    <row r="113" spans="1:59" ht="14.25" customHeight="1">
      <c r="A113" s="147" t="s">
        <v>59</v>
      </c>
      <c r="B113" s="147" t="s">
        <v>371</v>
      </c>
      <c r="C113" s="151" t="s">
        <v>372</v>
      </c>
      <c r="D113" s="151" t="s">
        <v>62</v>
      </c>
      <c r="E113" s="151">
        <v>2</v>
      </c>
      <c r="F113" s="149" t="s">
        <v>394</v>
      </c>
      <c r="G113" s="147" t="s">
        <v>374</v>
      </c>
      <c r="H113" s="147" t="s">
        <v>375</v>
      </c>
      <c r="I113" s="147" t="s">
        <v>380</v>
      </c>
      <c r="J113" s="164">
        <v>80111620</v>
      </c>
      <c r="K113" s="147" t="s">
        <v>377</v>
      </c>
      <c r="L113" s="147" t="s">
        <v>83</v>
      </c>
      <c r="M113" s="147" t="s">
        <v>395</v>
      </c>
      <c r="N113" s="179" t="s">
        <v>91</v>
      </c>
      <c r="O113" s="179" t="s">
        <v>91</v>
      </c>
      <c r="P113" s="179" t="s">
        <v>91</v>
      </c>
      <c r="Q113" s="147">
        <v>7</v>
      </c>
      <c r="R113" s="147" t="s">
        <v>72</v>
      </c>
      <c r="S113" s="147" t="s">
        <v>73</v>
      </c>
      <c r="T113" s="147" t="s">
        <v>74</v>
      </c>
      <c r="U113" s="148">
        <v>28588000</v>
      </c>
      <c r="V113" s="148">
        <v>28588000</v>
      </c>
      <c r="W113" s="147" t="s">
        <v>75</v>
      </c>
      <c r="X113" s="147" t="s">
        <v>67</v>
      </c>
      <c r="Y113" s="147" t="s">
        <v>147</v>
      </c>
      <c r="Z113" s="147" t="s">
        <v>148</v>
      </c>
      <c r="AA113" s="147">
        <v>6012220601</v>
      </c>
      <c r="AB113" s="160" t="s">
        <v>149</v>
      </c>
      <c r="AC113" s="14">
        <v>28588000</v>
      </c>
      <c r="AD113" s="14"/>
      <c r="AE113" s="14"/>
      <c r="AF113" s="14">
        <v>2450400</v>
      </c>
      <c r="AG113" s="14"/>
      <c r="AH113" s="14">
        <v>4084000</v>
      </c>
      <c r="AI113" s="14"/>
      <c r="AJ113" s="14">
        <v>4084000</v>
      </c>
      <c r="AK113" s="14"/>
      <c r="AL113" s="14">
        <f>4084000</f>
        <v>4084000</v>
      </c>
      <c r="AM113" s="14"/>
      <c r="AN113" s="14">
        <v>4084000</v>
      </c>
      <c r="AO113" s="14"/>
      <c r="AP113" s="14">
        <v>4084000</v>
      </c>
      <c r="AQ113" s="14"/>
      <c r="AR113" s="14">
        <v>4084000</v>
      </c>
      <c r="AS113" s="14"/>
      <c r="AT113" s="14">
        <v>1633600</v>
      </c>
      <c r="AU113" s="15"/>
      <c r="AV113" s="15"/>
      <c r="AW113" s="15"/>
      <c r="AX113" s="15"/>
      <c r="AY113" s="15"/>
      <c r="AZ113" s="15"/>
      <c r="BA113" s="17"/>
      <c r="BB113" s="17"/>
      <c r="BC113" s="18">
        <f t="shared" ref="BC113:BD113" si="107">AC113+AE113+AG113+AI113+AK113+AM113+AO113+AQ113+AS113+AU113+AW113+AY113+BA113</f>
        <v>28588000</v>
      </c>
      <c r="BD113" s="18">
        <f t="shared" si="107"/>
        <v>28588000</v>
      </c>
      <c r="BE113" s="19">
        <f t="shared" si="1"/>
        <v>0</v>
      </c>
      <c r="BF113" s="20">
        <f t="shared" si="2"/>
        <v>0</v>
      </c>
      <c r="BG113" s="20">
        <f t="shared" si="3"/>
        <v>0</v>
      </c>
    </row>
    <row r="114" spans="1:59" ht="14.25" customHeight="1">
      <c r="A114" s="147" t="s">
        <v>59</v>
      </c>
      <c r="B114" s="147" t="s">
        <v>371</v>
      </c>
      <c r="C114" s="151" t="s">
        <v>372</v>
      </c>
      <c r="D114" s="151" t="s">
        <v>62</v>
      </c>
      <c r="E114" s="151">
        <v>36</v>
      </c>
      <c r="F114" s="149" t="s">
        <v>396</v>
      </c>
      <c r="G114" s="147" t="s">
        <v>374</v>
      </c>
      <c r="H114" s="147" t="s">
        <v>375</v>
      </c>
      <c r="I114" s="147" t="s">
        <v>380</v>
      </c>
      <c r="J114" s="164">
        <v>80111620</v>
      </c>
      <c r="K114" s="147" t="s">
        <v>377</v>
      </c>
      <c r="L114" s="147" t="s">
        <v>83</v>
      </c>
      <c r="M114" s="147" t="s">
        <v>397</v>
      </c>
      <c r="N114" s="179" t="s">
        <v>91</v>
      </c>
      <c r="O114" s="179" t="s">
        <v>91</v>
      </c>
      <c r="P114" s="179" t="s">
        <v>91</v>
      </c>
      <c r="Q114" s="147">
        <v>11</v>
      </c>
      <c r="R114" s="147" t="s">
        <v>72</v>
      </c>
      <c r="S114" s="147" t="s">
        <v>73</v>
      </c>
      <c r="T114" s="147" t="s">
        <v>74</v>
      </c>
      <c r="U114" s="148">
        <v>49695067</v>
      </c>
      <c r="V114" s="148">
        <v>49695067</v>
      </c>
      <c r="W114" s="147" t="s">
        <v>75</v>
      </c>
      <c r="X114" s="147" t="s">
        <v>67</v>
      </c>
      <c r="Y114" s="147" t="s">
        <v>147</v>
      </c>
      <c r="Z114" s="147" t="s">
        <v>148</v>
      </c>
      <c r="AA114" s="147">
        <v>6012220601</v>
      </c>
      <c r="AB114" s="160" t="s">
        <v>149</v>
      </c>
      <c r="AC114" s="14">
        <v>48092000</v>
      </c>
      <c r="AD114" s="14"/>
      <c r="AE114" s="14"/>
      <c r="AF114" s="14">
        <v>1603067</v>
      </c>
      <c r="AG114" s="14"/>
      <c r="AH114" s="14">
        <v>4372000</v>
      </c>
      <c r="AI114" s="14"/>
      <c r="AJ114" s="14">
        <v>4372000</v>
      </c>
      <c r="AK114" s="14"/>
      <c r="AL114" s="14">
        <v>4372000</v>
      </c>
      <c r="AM114" s="14"/>
      <c r="AN114" s="14">
        <v>4372000</v>
      </c>
      <c r="AO114" s="14"/>
      <c r="AP114" s="14">
        <v>4372000</v>
      </c>
      <c r="AQ114" s="14"/>
      <c r="AR114" s="14">
        <v>4372000</v>
      </c>
      <c r="AS114" s="14"/>
      <c r="AT114" s="14">
        <v>4372000</v>
      </c>
      <c r="AU114" s="28">
        <v>1603067</v>
      </c>
      <c r="AV114" s="25">
        <v>4372000</v>
      </c>
      <c r="AW114" s="25"/>
      <c r="AX114" s="25">
        <v>4372000</v>
      </c>
      <c r="AY114" s="25"/>
      <c r="AZ114" s="28">
        <v>8744000</v>
      </c>
      <c r="BA114" s="17"/>
      <c r="BB114" s="17"/>
      <c r="BC114" s="18">
        <f t="shared" ref="BC114:BD114" si="108">AC114+AE114+AG114+AI114+AK114+AM114+AO114+AQ114+AS114+AU114+AW114+AY114+BA114</f>
        <v>49695067</v>
      </c>
      <c r="BD114" s="18">
        <f t="shared" si="108"/>
        <v>49695067</v>
      </c>
      <c r="BE114" s="19">
        <f t="shared" si="1"/>
        <v>0</v>
      </c>
      <c r="BF114" s="20">
        <f t="shared" si="2"/>
        <v>0</v>
      </c>
      <c r="BG114" s="20">
        <f t="shared" si="3"/>
        <v>0</v>
      </c>
    </row>
    <row r="115" spans="1:59" ht="14.25" customHeight="1">
      <c r="A115" s="147" t="s">
        <v>59</v>
      </c>
      <c r="B115" s="147" t="s">
        <v>371</v>
      </c>
      <c r="C115" s="151" t="s">
        <v>372</v>
      </c>
      <c r="D115" s="151" t="s">
        <v>62</v>
      </c>
      <c r="E115" s="151">
        <v>36</v>
      </c>
      <c r="F115" s="149" t="s">
        <v>398</v>
      </c>
      <c r="G115" s="147" t="s">
        <v>374</v>
      </c>
      <c r="H115" s="147" t="s">
        <v>375</v>
      </c>
      <c r="I115" s="147" t="s">
        <v>380</v>
      </c>
      <c r="J115" s="164">
        <v>80111620</v>
      </c>
      <c r="K115" s="147" t="s">
        <v>377</v>
      </c>
      <c r="L115" s="147" t="s">
        <v>83</v>
      </c>
      <c r="M115" s="147" t="s">
        <v>399</v>
      </c>
      <c r="N115" s="179" t="s">
        <v>91</v>
      </c>
      <c r="O115" s="179" t="s">
        <v>91</v>
      </c>
      <c r="P115" s="179" t="s">
        <v>91</v>
      </c>
      <c r="Q115" s="147">
        <v>11</v>
      </c>
      <c r="R115" s="147" t="s">
        <v>72</v>
      </c>
      <c r="S115" s="147" t="s">
        <v>73</v>
      </c>
      <c r="T115" s="147" t="s">
        <v>74</v>
      </c>
      <c r="U115" s="148">
        <v>51150000</v>
      </c>
      <c r="V115" s="148">
        <v>51150000</v>
      </c>
      <c r="W115" s="147" t="s">
        <v>75</v>
      </c>
      <c r="X115" s="147" t="s">
        <v>67</v>
      </c>
      <c r="Y115" s="147" t="s">
        <v>147</v>
      </c>
      <c r="Z115" s="147" t="s">
        <v>148</v>
      </c>
      <c r="AA115" s="147">
        <v>6012220601</v>
      </c>
      <c r="AB115" s="160" t="s">
        <v>149</v>
      </c>
      <c r="AC115" s="14">
        <v>49500000</v>
      </c>
      <c r="AD115" s="14"/>
      <c r="AE115" s="14"/>
      <c r="AF115" s="14">
        <v>1650000</v>
      </c>
      <c r="AG115" s="14"/>
      <c r="AH115" s="14">
        <v>4500000</v>
      </c>
      <c r="AI115" s="14"/>
      <c r="AJ115" s="14">
        <v>4500000</v>
      </c>
      <c r="AK115" s="14"/>
      <c r="AL115" s="14">
        <v>4500000</v>
      </c>
      <c r="AM115" s="14"/>
      <c r="AN115" s="14">
        <v>4500000</v>
      </c>
      <c r="AO115" s="14"/>
      <c r="AP115" s="14">
        <v>4500000</v>
      </c>
      <c r="AQ115" s="14"/>
      <c r="AR115" s="14">
        <v>4500000</v>
      </c>
      <c r="AS115" s="14"/>
      <c r="AT115" s="14">
        <v>4500000</v>
      </c>
      <c r="AU115" s="28">
        <v>1650000</v>
      </c>
      <c r="AV115" s="25">
        <v>4500000</v>
      </c>
      <c r="AW115" s="25"/>
      <c r="AX115" s="25">
        <v>4500000</v>
      </c>
      <c r="AY115" s="25"/>
      <c r="AZ115" s="28">
        <v>9000000</v>
      </c>
      <c r="BA115" s="17"/>
      <c r="BB115" s="17"/>
      <c r="BC115" s="18">
        <f t="shared" ref="BC115:BD115" si="109">AC115+AE115+AG115+AI115+AK115+AM115+AO115+AQ115+AS115+AU115+AW115+AY115+BA115</f>
        <v>51150000</v>
      </c>
      <c r="BD115" s="18">
        <f t="shared" si="109"/>
        <v>51150000</v>
      </c>
      <c r="BE115" s="19">
        <f t="shared" si="1"/>
        <v>0</v>
      </c>
      <c r="BF115" s="20">
        <f t="shared" si="2"/>
        <v>0</v>
      </c>
      <c r="BG115" s="20">
        <f t="shared" si="3"/>
        <v>0</v>
      </c>
    </row>
    <row r="116" spans="1:59" ht="14.25" customHeight="1">
      <c r="A116" s="147" t="s">
        <v>59</v>
      </c>
      <c r="B116" s="147" t="s">
        <v>371</v>
      </c>
      <c r="C116" s="151" t="s">
        <v>372</v>
      </c>
      <c r="D116" s="151" t="s">
        <v>62</v>
      </c>
      <c r="E116" s="151">
        <v>36</v>
      </c>
      <c r="F116" s="149" t="s">
        <v>400</v>
      </c>
      <c r="G116" s="147" t="s">
        <v>374</v>
      </c>
      <c r="H116" s="147" t="s">
        <v>375</v>
      </c>
      <c r="I116" s="147" t="s">
        <v>380</v>
      </c>
      <c r="J116" s="164">
        <v>80111620</v>
      </c>
      <c r="K116" s="147" t="s">
        <v>377</v>
      </c>
      <c r="L116" s="147" t="s">
        <v>83</v>
      </c>
      <c r="M116" s="147" t="s">
        <v>401</v>
      </c>
      <c r="N116" s="179" t="s">
        <v>91</v>
      </c>
      <c r="O116" s="179" t="s">
        <v>91</v>
      </c>
      <c r="P116" s="179" t="s">
        <v>91</v>
      </c>
      <c r="Q116" s="147">
        <v>11</v>
      </c>
      <c r="R116" s="147" t="s">
        <v>72</v>
      </c>
      <c r="S116" s="147" t="s">
        <v>73</v>
      </c>
      <c r="T116" s="147" t="s">
        <v>74</v>
      </c>
      <c r="U116" s="148">
        <v>90666667</v>
      </c>
      <c r="V116" s="148">
        <v>90666667</v>
      </c>
      <c r="W116" s="147" t="s">
        <v>75</v>
      </c>
      <c r="X116" s="147" t="s">
        <v>67</v>
      </c>
      <c r="Y116" s="147" t="s">
        <v>147</v>
      </c>
      <c r="Z116" s="147" t="s">
        <v>148</v>
      </c>
      <c r="AA116" s="147">
        <v>6012220601</v>
      </c>
      <c r="AB116" s="160" t="s">
        <v>149</v>
      </c>
      <c r="AC116" s="14">
        <v>80000000</v>
      </c>
      <c r="AD116" s="14"/>
      <c r="AE116" s="14"/>
      <c r="AF116" s="14">
        <v>2666667</v>
      </c>
      <c r="AG116" s="14"/>
      <c r="AH116" s="14">
        <v>8000000</v>
      </c>
      <c r="AI116" s="14"/>
      <c r="AJ116" s="14">
        <v>8000000</v>
      </c>
      <c r="AK116" s="14"/>
      <c r="AL116" s="14">
        <v>8000000</v>
      </c>
      <c r="AM116" s="14"/>
      <c r="AN116" s="14">
        <v>8000000</v>
      </c>
      <c r="AO116" s="14"/>
      <c r="AP116" s="14">
        <v>8000000</v>
      </c>
      <c r="AQ116" s="14"/>
      <c r="AR116" s="14">
        <v>8000000</v>
      </c>
      <c r="AS116" s="14"/>
      <c r="AT116" s="14">
        <v>8000000</v>
      </c>
      <c r="AU116" s="15">
        <v>10666667</v>
      </c>
      <c r="AV116" s="15">
        <v>8000000</v>
      </c>
      <c r="AW116" s="15"/>
      <c r="AX116" s="15">
        <v>8000000</v>
      </c>
      <c r="AY116" s="15"/>
      <c r="AZ116" s="15">
        <v>16000000</v>
      </c>
      <c r="BA116" s="17"/>
      <c r="BB116" s="17"/>
      <c r="BC116" s="18">
        <f t="shared" ref="BC116:BD116" si="110">AC116+AE116+AG116+AI116+AK116+AM116+AO116+AQ116+AS116+AU116+AW116+AY116+BA116</f>
        <v>90666667</v>
      </c>
      <c r="BD116" s="18">
        <f t="shared" si="110"/>
        <v>90666667</v>
      </c>
      <c r="BE116" s="19">
        <f t="shared" si="1"/>
        <v>0</v>
      </c>
      <c r="BF116" s="20">
        <f t="shared" si="2"/>
        <v>0</v>
      </c>
      <c r="BG116" s="20">
        <f t="shared" si="3"/>
        <v>0</v>
      </c>
    </row>
    <row r="117" spans="1:59" ht="14.25" customHeight="1">
      <c r="A117" s="147" t="s">
        <v>59</v>
      </c>
      <c r="B117" s="147" t="s">
        <v>371</v>
      </c>
      <c r="C117" s="151" t="s">
        <v>372</v>
      </c>
      <c r="D117" s="151" t="s">
        <v>62</v>
      </c>
      <c r="E117" s="151">
        <v>30</v>
      </c>
      <c r="F117" s="149" t="s">
        <v>402</v>
      </c>
      <c r="G117" s="147" t="s">
        <v>403</v>
      </c>
      <c r="H117" s="147" t="s">
        <v>404</v>
      </c>
      <c r="I117" s="147" t="s">
        <v>405</v>
      </c>
      <c r="J117" s="164">
        <v>80111620</v>
      </c>
      <c r="K117" s="147" t="s">
        <v>406</v>
      </c>
      <c r="L117" s="147" t="s">
        <v>83</v>
      </c>
      <c r="M117" s="147" t="s">
        <v>407</v>
      </c>
      <c r="N117" s="179" t="s">
        <v>91</v>
      </c>
      <c r="O117" s="179" t="s">
        <v>91</v>
      </c>
      <c r="P117" s="179" t="s">
        <v>91</v>
      </c>
      <c r="Q117" s="147">
        <v>11</v>
      </c>
      <c r="R117" s="147" t="s">
        <v>72</v>
      </c>
      <c r="S117" s="147" t="s">
        <v>73</v>
      </c>
      <c r="T117" s="147" t="s">
        <v>74</v>
      </c>
      <c r="U117" s="148">
        <v>48076077</v>
      </c>
      <c r="V117" s="148">
        <v>48076077</v>
      </c>
      <c r="W117" s="147" t="s">
        <v>75</v>
      </c>
      <c r="X117" s="147" t="s">
        <v>67</v>
      </c>
      <c r="Y117" s="147" t="s">
        <v>147</v>
      </c>
      <c r="Z117" s="147" t="s">
        <v>148</v>
      </c>
      <c r="AA117" s="147">
        <v>6012220601</v>
      </c>
      <c r="AB117" s="160" t="s">
        <v>149</v>
      </c>
      <c r="AC117" s="14">
        <v>36000000</v>
      </c>
      <c r="AD117" s="14"/>
      <c r="AE117" s="14"/>
      <c r="AF117" s="14">
        <v>400000</v>
      </c>
      <c r="AG117" s="14"/>
      <c r="AH117" s="14">
        <v>6000000</v>
      </c>
      <c r="AI117" s="14"/>
      <c r="AJ117" s="14">
        <v>6000000</v>
      </c>
      <c r="AK117" s="14"/>
      <c r="AL117" s="14">
        <v>6000000</v>
      </c>
      <c r="AM117" s="14"/>
      <c r="AN117" s="14">
        <v>6000000</v>
      </c>
      <c r="AO117" s="14">
        <v>12076077</v>
      </c>
      <c r="AP117" s="14">
        <v>6000000</v>
      </c>
      <c r="AQ117" s="14"/>
      <c r="AR117" s="14">
        <v>6000000</v>
      </c>
      <c r="AS117" s="14"/>
      <c r="AT117" s="14">
        <v>6000000</v>
      </c>
      <c r="AU117" s="25"/>
      <c r="AV117" s="25">
        <v>1892026</v>
      </c>
      <c r="AW117" s="25"/>
      <c r="AX117" s="25">
        <v>1892026</v>
      </c>
      <c r="AY117" s="25"/>
      <c r="AZ117" s="28">
        <v>1892025</v>
      </c>
      <c r="BA117" s="17"/>
      <c r="BB117" s="17"/>
      <c r="BC117" s="18">
        <f t="shared" ref="BC117:BD117" si="111">AC117+AE117+AG117+AI117+AK117+AM117+AO117+AQ117+AS117+AU117+AW117+AY117+BA117</f>
        <v>48076077</v>
      </c>
      <c r="BD117" s="18">
        <f t="shared" si="111"/>
        <v>48076077</v>
      </c>
      <c r="BE117" s="19">
        <f t="shared" si="1"/>
        <v>0</v>
      </c>
      <c r="BF117" s="20">
        <f t="shared" si="2"/>
        <v>0</v>
      </c>
      <c r="BG117" s="20">
        <f t="shared" si="3"/>
        <v>0</v>
      </c>
    </row>
    <row r="118" spans="1:59" ht="14.25" customHeight="1">
      <c r="A118" s="147" t="s">
        <v>59</v>
      </c>
      <c r="B118" s="147" t="s">
        <v>371</v>
      </c>
      <c r="C118" s="151" t="s">
        <v>372</v>
      </c>
      <c r="D118" s="151" t="s">
        <v>62</v>
      </c>
      <c r="E118" s="151" t="s">
        <v>114</v>
      </c>
      <c r="F118" s="149" t="s">
        <v>408</v>
      </c>
      <c r="G118" s="147" t="s">
        <v>403</v>
      </c>
      <c r="H118" s="147" t="s">
        <v>404</v>
      </c>
      <c r="I118" s="147" t="s">
        <v>405</v>
      </c>
      <c r="J118" s="164">
        <v>80111620</v>
      </c>
      <c r="K118" s="147" t="s">
        <v>406</v>
      </c>
      <c r="L118" s="147" t="s">
        <v>83</v>
      </c>
      <c r="M118" s="147" t="s">
        <v>409</v>
      </c>
      <c r="N118" s="179" t="s">
        <v>91</v>
      </c>
      <c r="O118" s="179" t="s">
        <v>91</v>
      </c>
      <c r="P118" s="179" t="s">
        <v>91</v>
      </c>
      <c r="Q118" s="147">
        <v>11</v>
      </c>
      <c r="R118" s="147" t="s">
        <v>72</v>
      </c>
      <c r="S118" s="147" t="s">
        <v>73</v>
      </c>
      <c r="T118" s="147" t="s">
        <v>74</v>
      </c>
      <c r="U118" s="148">
        <v>52844000</v>
      </c>
      <c r="V118" s="148">
        <v>52844000</v>
      </c>
      <c r="W118" s="147" t="s">
        <v>75</v>
      </c>
      <c r="X118" s="147" t="s">
        <v>67</v>
      </c>
      <c r="Y118" s="147" t="s">
        <v>147</v>
      </c>
      <c r="Z118" s="147" t="s">
        <v>148</v>
      </c>
      <c r="AA118" s="147">
        <v>6012220601</v>
      </c>
      <c r="AB118" s="160" t="s">
        <v>149</v>
      </c>
      <c r="AC118" s="14">
        <v>52844000</v>
      </c>
      <c r="AD118" s="14"/>
      <c r="AE118" s="14"/>
      <c r="AF118" s="14"/>
      <c r="AG118" s="14"/>
      <c r="AH118" s="14">
        <v>4804000</v>
      </c>
      <c r="AI118" s="14"/>
      <c r="AJ118" s="14">
        <v>4804000</v>
      </c>
      <c r="AK118" s="14"/>
      <c r="AL118" s="14">
        <v>4804000</v>
      </c>
      <c r="AM118" s="14"/>
      <c r="AN118" s="14">
        <v>4804000</v>
      </c>
      <c r="AO118" s="14"/>
      <c r="AP118" s="14">
        <v>4804000</v>
      </c>
      <c r="AQ118" s="14"/>
      <c r="AR118" s="14">
        <v>4804000</v>
      </c>
      <c r="AS118" s="14"/>
      <c r="AT118" s="14">
        <f>662242+ 808550</f>
        <v>1470792</v>
      </c>
      <c r="AU118" s="25"/>
      <c r="AV118" s="25">
        <v>4804000</v>
      </c>
      <c r="AW118" s="25"/>
      <c r="AX118" s="25">
        <v>4804000</v>
      </c>
      <c r="AY118" s="25"/>
      <c r="AZ118" s="28">
        <v>12941208</v>
      </c>
      <c r="BA118" s="17"/>
      <c r="BB118" s="17"/>
      <c r="BC118" s="18">
        <f t="shared" ref="BC118:BD118" si="112">AC118+AE118+AG118+AI118+AK118+AM118+AO118+AQ118+AS118+AU118+AW118+AY118+BA118</f>
        <v>52844000</v>
      </c>
      <c r="BD118" s="18">
        <f t="shared" si="112"/>
        <v>52844000</v>
      </c>
      <c r="BE118" s="19">
        <f t="shared" si="1"/>
        <v>0</v>
      </c>
      <c r="BF118" s="20">
        <f t="shared" si="2"/>
        <v>0</v>
      </c>
      <c r="BG118" s="20">
        <f t="shared" si="3"/>
        <v>0</v>
      </c>
    </row>
    <row r="119" spans="1:59" ht="14.25" customHeight="1">
      <c r="A119" s="147" t="s">
        <v>59</v>
      </c>
      <c r="B119" s="147" t="s">
        <v>371</v>
      </c>
      <c r="C119" s="151" t="s">
        <v>372</v>
      </c>
      <c r="D119" s="151" t="s">
        <v>62</v>
      </c>
      <c r="E119" s="151">
        <v>2</v>
      </c>
      <c r="F119" s="149" t="s">
        <v>410</v>
      </c>
      <c r="G119" s="147" t="s">
        <v>403</v>
      </c>
      <c r="H119" s="147" t="s">
        <v>404</v>
      </c>
      <c r="I119" s="147" t="s">
        <v>405</v>
      </c>
      <c r="J119" s="164">
        <v>80111620</v>
      </c>
      <c r="K119" s="147" t="s">
        <v>406</v>
      </c>
      <c r="L119" s="147" t="s">
        <v>83</v>
      </c>
      <c r="M119" s="147" t="s">
        <v>411</v>
      </c>
      <c r="N119" s="179" t="s">
        <v>91</v>
      </c>
      <c r="O119" s="179" t="s">
        <v>91</v>
      </c>
      <c r="P119" s="179" t="s">
        <v>91</v>
      </c>
      <c r="Q119" s="147">
        <v>11</v>
      </c>
      <c r="R119" s="147" t="s">
        <v>72</v>
      </c>
      <c r="S119" s="147" t="s">
        <v>73</v>
      </c>
      <c r="T119" s="147" t="s">
        <v>74</v>
      </c>
      <c r="U119" s="148">
        <v>7000000</v>
      </c>
      <c r="V119" s="148">
        <v>7000000</v>
      </c>
      <c r="W119" s="147" t="s">
        <v>75</v>
      </c>
      <c r="X119" s="147" t="s">
        <v>67</v>
      </c>
      <c r="Y119" s="147" t="s">
        <v>147</v>
      </c>
      <c r="Z119" s="147" t="s">
        <v>148</v>
      </c>
      <c r="AA119" s="147">
        <v>6012220601</v>
      </c>
      <c r="AB119" s="160" t="s">
        <v>149</v>
      </c>
      <c r="AC119" s="14">
        <v>7000000</v>
      </c>
      <c r="AD119" s="14"/>
      <c r="AE119" s="14"/>
      <c r="AF119" s="14"/>
      <c r="AG119" s="14"/>
      <c r="AH119" s="14"/>
      <c r="AI119" s="14"/>
      <c r="AJ119" s="14"/>
      <c r="AK119" s="14"/>
      <c r="AL119" s="14"/>
      <c r="AM119" s="14"/>
      <c r="AN119" s="14">
        <v>1427546</v>
      </c>
      <c r="AO119" s="14"/>
      <c r="AP119" s="14">
        <v>1430696</v>
      </c>
      <c r="AQ119" s="14"/>
      <c r="AR119" s="14"/>
      <c r="AS119" s="14"/>
      <c r="AT119" s="14">
        <v>4141758</v>
      </c>
      <c r="AU119" s="15"/>
      <c r="AV119" s="15"/>
      <c r="AW119" s="15"/>
      <c r="AX119" s="15"/>
      <c r="AY119" s="15"/>
      <c r="AZ119" s="15"/>
      <c r="BA119" s="17"/>
      <c r="BB119" s="17"/>
      <c r="BC119" s="18">
        <f t="shared" ref="BC119:BD119" si="113">AC119+AE119+AG119+AI119+AK119+AM119+AO119+AQ119+AS119+AU119+AW119+AY119+BA119</f>
        <v>7000000</v>
      </c>
      <c r="BD119" s="18">
        <f t="shared" si="113"/>
        <v>7000000</v>
      </c>
      <c r="BE119" s="19">
        <f t="shared" si="1"/>
        <v>0</v>
      </c>
      <c r="BF119" s="20">
        <f t="shared" si="2"/>
        <v>0</v>
      </c>
      <c r="BG119" s="20">
        <f t="shared" si="3"/>
        <v>0</v>
      </c>
    </row>
    <row r="120" spans="1:59" ht="14.25" customHeight="1">
      <c r="A120" s="147" t="s">
        <v>59</v>
      </c>
      <c r="B120" s="147" t="s">
        <v>371</v>
      </c>
      <c r="C120" s="151" t="s">
        <v>372</v>
      </c>
      <c r="D120" s="151" t="s">
        <v>62</v>
      </c>
      <c r="E120" s="151">
        <v>2</v>
      </c>
      <c r="F120" s="149" t="s">
        <v>412</v>
      </c>
      <c r="G120" s="147" t="s">
        <v>389</v>
      </c>
      <c r="H120" s="147" t="s">
        <v>390</v>
      </c>
      <c r="I120" s="147" t="s">
        <v>413</v>
      </c>
      <c r="J120" s="164">
        <v>80111620</v>
      </c>
      <c r="K120" s="147" t="s">
        <v>392</v>
      </c>
      <c r="L120" s="147" t="s">
        <v>83</v>
      </c>
      <c r="M120" s="147" t="s">
        <v>414</v>
      </c>
      <c r="N120" s="179" t="s">
        <v>91</v>
      </c>
      <c r="O120" s="179" t="s">
        <v>91</v>
      </c>
      <c r="P120" s="179" t="s">
        <v>91</v>
      </c>
      <c r="Q120" s="147">
        <v>11</v>
      </c>
      <c r="R120" s="147" t="s">
        <v>72</v>
      </c>
      <c r="S120" s="147" t="s">
        <v>73</v>
      </c>
      <c r="T120" s="147" t="s">
        <v>74</v>
      </c>
      <c r="U120" s="148">
        <v>82333784</v>
      </c>
      <c r="V120" s="148">
        <v>82333784</v>
      </c>
      <c r="W120" s="147" t="s">
        <v>75</v>
      </c>
      <c r="X120" s="147" t="s">
        <v>67</v>
      </c>
      <c r="Y120" s="147" t="s">
        <v>147</v>
      </c>
      <c r="Z120" s="147" t="s">
        <v>148</v>
      </c>
      <c r="AA120" s="147">
        <v>6012220601</v>
      </c>
      <c r="AB120" s="160" t="s">
        <v>149</v>
      </c>
      <c r="AC120" s="14">
        <v>75000000</v>
      </c>
      <c r="AD120" s="14"/>
      <c r="AE120" s="14"/>
      <c r="AF120" s="14">
        <v>2500000</v>
      </c>
      <c r="AG120" s="14"/>
      <c r="AH120" s="14">
        <v>7500000</v>
      </c>
      <c r="AI120" s="14"/>
      <c r="AJ120" s="14">
        <v>7500000</v>
      </c>
      <c r="AK120" s="14"/>
      <c r="AL120" s="14">
        <v>7500000</v>
      </c>
      <c r="AM120" s="14"/>
      <c r="AN120" s="14">
        <v>7500000</v>
      </c>
      <c r="AO120" s="14"/>
      <c r="AP120" s="14">
        <v>7500000</v>
      </c>
      <c r="AQ120" s="14"/>
      <c r="AR120" s="14">
        <v>7500000</v>
      </c>
      <c r="AS120" s="14">
        <v>7333784</v>
      </c>
      <c r="AT120" s="14">
        <v>7500000</v>
      </c>
      <c r="AU120" s="15"/>
      <c r="AV120" s="15">
        <v>7500000</v>
      </c>
      <c r="AW120" s="15"/>
      <c r="AX120" s="15">
        <v>7500000</v>
      </c>
      <c r="AY120" s="15"/>
      <c r="AZ120" s="15">
        <v>12333784</v>
      </c>
      <c r="BA120" s="17"/>
      <c r="BB120" s="17"/>
      <c r="BC120" s="18">
        <f t="shared" ref="BC120:BD120" si="114">AC120+AE120+AG120+AI120+AK120+AM120+AO120+AQ120+AS120+AU120+AW120+AY120+BA120</f>
        <v>82333784</v>
      </c>
      <c r="BD120" s="18">
        <f t="shared" si="114"/>
        <v>82333784</v>
      </c>
      <c r="BE120" s="19">
        <f t="shared" si="1"/>
        <v>0</v>
      </c>
      <c r="BF120" s="20">
        <f t="shared" si="2"/>
        <v>0</v>
      </c>
      <c r="BG120" s="20">
        <f t="shared" si="3"/>
        <v>0</v>
      </c>
    </row>
    <row r="121" spans="1:59" ht="14.25" customHeight="1">
      <c r="A121" s="147" t="s">
        <v>59</v>
      </c>
      <c r="B121" s="147" t="s">
        <v>371</v>
      </c>
      <c r="C121" s="151" t="s">
        <v>372</v>
      </c>
      <c r="D121" s="151" t="s">
        <v>62</v>
      </c>
      <c r="E121" s="151">
        <v>36</v>
      </c>
      <c r="F121" s="149" t="s">
        <v>415</v>
      </c>
      <c r="G121" s="147" t="s">
        <v>374</v>
      </c>
      <c r="H121" s="147" t="s">
        <v>375</v>
      </c>
      <c r="I121" s="147" t="s">
        <v>380</v>
      </c>
      <c r="J121" s="164">
        <v>80111620</v>
      </c>
      <c r="K121" s="147" t="s">
        <v>377</v>
      </c>
      <c r="L121" s="147" t="s">
        <v>83</v>
      </c>
      <c r="M121" s="147" t="s">
        <v>416</v>
      </c>
      <c r="N121" s="179" t="s">
        <v>91</v>
      </c>
      <c r="O121" s="179" t="s">
        <v>91</v>
      </c>
      <c r="P121" s="179" t="s">
        <v>91</v>
      </c>
      <c r="Q121" s="147">
        <v>11</v>
      </c>
      <c r="R121" s="147" t="s">
        <v>72</v>
      </c>
      <c r="S121" s="147" t="s">
        <v>73</v>
      </c>
      <c r="T121" s="147" t="s">
        <v>74</v>
      </c>
      <c r="U121" s="148">
        <v>85176000</v>
      </c>
      <c r="V121" s="148">
        <v>85176000</v>
      </c>
      <c r="W121" s="147" t="s">
        <v>75</v>
      </c>
      <c r="X121" s="147" t="s">
        <v>67</v>
      </c>
      <c r="Y121" s="147" t="s">
        <v>147</v>
      </c>
      <c r="Z121" s="147" t="s">
        <v>148</v>
      </c>
      <c r="AA121" s="147">
        <v>6012220601</v>
      </c>
      <c r="AB121" s="160" t="s">
        <v>149</v>
      </c>
      <c r="AC121" s="14">
        <v>80080000</v>
      </c>
      <c r="AD121" s="14"/>
      <c r="AE121" s="14"/>
      <c r="AF121" s="14">
        <v>5096000</v>
      </c>
      <c r="AG121" s="14"/>
      <c r="AH121" s="14">
        <v>7280000</v>
      </c>
      <c r="AI121" s="14"/>
      <c r="AJ121" s="14">
        <v>7280000</v>
      </c>
      <c r="AK121" s="14"/>
      <c r="AL121" s="14">
        <v>7280000</v>
      </c>
      <c r="AM121" s="14"/>
      <c r="AN121" s="14">
        <v>7280000</v>
      </c>
      <c r="AO121" s="14"/>
      <c r="AP121" s="14">
        <v>7280000</v>
      </c>
      <c r="AQ121" s="14"/>
      <c r="AR121" s="14">
        <v>7280000</v>
      </c>
      <c r="AS121" s="14">
        <v>5096000</v>
      </c>
      <c r="AT121" s="14">
        <v>7280000</v>
      </c>
      <c r="AU121" s="25"/>
      <c r="AV121" s="25">
        <v>7280000</v>
      </c>
      <c r="AW121" s="25"/>
      <c r="AX121" s="25">
        <v>7280000</v>
      </c>
      <c r="AY121" s="25"/>
      <c r="AZ121" s="28">
        <v>14560000</v>
      </c>
      <c r="BA121" s="17"/>
      <c r="BB121" s="17"/>
      <c r="BC121" s="18">
        <f t="shared" ref="BC121:BD121" si="115">AC121+AE121+AG121+AI121+AK121+AM121+AO121+AQ121+AS121+AU121+AW121+AY121+BA121</f>
        <v>85176000</v>
      </c>
      <c r="BD121" s="18">
        <f t="shared" si="115"/>
        <v>85176000</v>
      </c>
      <c r="BE121" s="19">
        <f t="shared" si="1"/>
        <v>0</v>
      </c>
      <c r="BF121" s="20">
        <f t="shared" si="2"/>
        <v>0</v>
      </c>
      <c r="BG121" s="20">
        <f t="shared" si="3"/>
        <v>0</v>
      </c>
    </row>
    <row r="122" spans="1:59" ht="14.25" customHeight="1">
      <c r="A122" s="147" t="s">
        <v>59</v>
      </c>
      <c r="B122" s="147" t="s">
        <v>371</v>
      </c>
      <c r="C122" s="151" t="s">
        <v>372</v>
      </c>
      <c r="D122" s="151" t="s">
        <v>62</v>
      </c>
      <c r="E122" s="151">
        <v>42</v>
      </c>
      <c r="F122" s="149" t="s">
        <v>417</v>
      </c>
      <c r="G122" s="147" t="s">
        <v>374</v>
      </c>
      <c r="H122" s="147" t="s">
        <v>375</v>
      </c>
      <c r="I122" s="147" t="s">
        <v>380</v>
      </c>
      <c r="J122" s="164">
        <v>80111620</v>
      </c>
      <c r="K122" s="147" t="s">
        <v>377</v>
      </c>
      <c r="L122" s="147" t="s">
        <v>83</v>
      </c>
      <c r="M122" s="147" t="s">
        <v>418</v>
      </c>
      <c r="N122" s="147" t="s">
        <v>91</v>
      </c>
      <c r="O122" s="179" t="s">
        <v>91</v>
      </c>
      <c r="P122" s="179" t="s">
        <v>91</v>
      </c>
      <c r="Q122" s="147">
        <v>11</v>
      </c>
      <c r="R122" s="147" t="s">
        <v>72</v>
      </c>
      <c r="S122" s="147" t="s">
        <v>73</v>
      </c>
      <c r="T122" s="147" t="s">
        <v>74</v>
      </c>
      <c r="U122" s="148">
        <v>77000000</v>
      </c>
      <c r="V122" s="148">
        <v>77000000</v>
      </c>
      <c r="W122" s="147" t="s">
        <v>75</v>
      </c>
      <c r="X122" s="147" t="s">
        <v>67</v>
      </c>
      <c r="Y122" s="147" t="s">
        <v>147</v>
      </c>
      <c r="Z122" s="147" t="s">
        <v>148</v>
      </c>
      <c r="AA122" s="147">
        <v>6012220601</v>
      </c>
      <c r="AB122" s="160" t="s">
        <v>149</v>
      </c>
      <c r="AC122" s="14">
        <v>77000000</v>
      </c>
      <c r="AD122" s="14"/>
      <c r="AE122" s="14"/>
      <c r="AF122" s="14">
        <v>5133333</v>
      </c>
      <c r="AG122" s="14"/>
      <c r="AH122" s="14">
        <v>7000000</v>
      </c>
      <c r="AI122" s="14"/>
      <c r="AJ122" s="14">
        <v>7000000</v>
      </c>
      <c r="AK122" s="14"/>
      <c r="AL122" s="14">
        <v>7000000</v>
      </c>
      <c r="AM122" s="14"/>
      <c r="AN122" s="14">
        <v>7000000</v>
      </c>
      <c r="AO122" s="14"/>
      <c r="AP122" s="14">
        <v>7000000</v>
      </c>
      <c r="AQ122" s="14"/>
      <c r="AR122" s="14">
        <v>7000000</v>
      </c>
      <c r="AS122" s="14"/>
      <c r="AT122" s="14">
        <v>7000000</v>
      </c>
      <c r="AU122" s="25"/>
      <c r="AV122" s="25">
        <v>7000000</v>
      </c>
      <c r="AW122" s="25"/>
      <c r="AX122" s="25">
        <v>7000000</v>
      </c>
      <c r="AY122" s="25"/>
      <c r="AZ122" s="28">
        <v>8866667</v>
      </c>
      <c r="BA122" s="17"/>
      <c r="BB122" s="17"/>
      <c r="BC122" s="18">
        <f t="shared" ref="BC122:BD122" si="116">AC122+AE122+AG122+AI122+AK122+AM122+AO122+AQ122+AS122+AU122+AW122+AY122+BA122</f>
        <v>77000000</v>
      </c>
      <c r="BD122" s="18">
        <f t="shared" si="116"/>
        <v>77000000</v>
      </c>
      <c r="BE122" s="19">
        <f t="shared" si="1"/>
        <v>0</v>
      </c>
      <c r="BF122" s="20">
        <f t="shared" si="2"/>
        <v>0</v>
      </c>
      <c r="BG122" s="20">
        <f t="shared" si="3"/>
        <v>0</v>
      </c>
    </row>
    <row r="123" spans="1:59" ht="14.25" customHeight="1">
      <c r="A123" s="150" t="s">
        <v>59</v>
      </c>
      <c r="B123" s="150" t="s">
        <v>371</v>
      </c>
      <c r="C123" s="152" t="s">
        <v>372</v>
      </c>
      <c r="D123" s="152" t="s">
        <v>62</v>
      </c>
      <c r="E123" s="152" t="s">
        <v>114</v>
      </c>
      <c r="F123" s="150" t="s">
        <v>419</v>
      </c>
      <c r="G123" s="150" t="s">
        <v>403</v>
      </c>
      <c r="H123" s="150" t="s">
        <v>404</v>
      </c>
      <c r="I123" s="150" t="s">
        <v>405</v>
      </c>
      <c r="J123" s="181">
        <v>80111620</v>
      </c>
      <c r="K123" s="150" t="s">
        <v>406</v>
      </c>
      <c r="L123" s="150" t="s">
        <v>83</v>
      </c>
      <c r="M123" s="150" t="s">
        <v>420</v>
      </c>
      <c r="N123" s="182" t="s">
        <v>91</v>
      </c>
      <c r="O123" s="182" t="s">
        <v>91</v>
      </c>
      <c r="P123" s="182" t="s">
        <v>91</v>
      </c>
      <c r="Q123" s="150">
        <v>11.5</v>
      </c>
      <c r="R123" s="150" t="s">
        <v>72</v>
      </c>
      <c r="S123" s="150" t="s">
        <v>73</v>
      </c>
      <c r="T123" s="150" t="s">
        <v>74</v>
      </c>
      <c r="U123" s="183">
        <v>13580131</v>
      </c>
      <c r="V123" s="183">
        <v>13580131</v>
      </c>
      <c r="W123" s="150" t="s">
        <v>75</v>
      </c>
      <c r="X123" s="150" t="s">
        <v>67</v>
      </c>
      <c r="Y123" s="150" t="s">
        <v>206</v>
      </c>
      <c r="Z123" s="150" t="s">
        <v>207</v>
      </c>
      <c r="AA123" s="150">
        <v>6012220601</v>
      </c>
      <c r="AB123" s="184" t="s">
        <v>208</v>
      </c>
      <c r="AC123" s="35">
        <v>13580131</v>
      </c>
      <c r="AD123" s="35"/>
      <c r="AE123" s="35"/>
      <c r="AF123" s="35"/>
      <c r="AG123" s="35"/>
      <c r="AH123" s="35">
        <v>8500000</v>
      </c>
      <c r="AI123" s="35"/>
      <c r="AJ123" s="35"/>
      <c r="AK123" s="35"/>
      <c r="AL123" s="35"/>
      <c r="AM123" s="35"/>
      <c r="AN123" s="35">
        <v>4677021</v>
      </c>
      <c r="AO123" s="35"/>
      <c r="AP123" s="35"/>
      <c r="AQ123" s="35"/>
      <c r="AR123" s="35"/>
      <c r="AS123" s="35"/>
      <c r="AT123" s="35"/>
      <c r="AU123" s="42"/>
      <c r="AV123" s="42"/>
      <c r="AW123" s="42"/>
      <c r="AX123" s="42"/>
      <c r="AY123" s="42"/>
      <c r="AZ123" s="34">
        <v>403110</v>
      </c>
      <c r="BA123" s="17"/>
      <c r="BB123" s="17"/>
      <c r="BC123" s="18">
        <f t="shared" ref="BC123:BD123" si="117">AC123+AE123+AG123+AI123+AK123+AM123+AO123+AQ123+AS123+AU123+AW123+AY123+BA123</f>
        <v>13580131</v>
      </c>
      <c r="BD123" s="18">
        <f t="shared" si="117"/>
        <v>13580131</v>
      </c>
      <c r="BE123" s="19">
        <f t="shared" si="1"/>
        <v>0</v>
      </c>
      <c r="BF123" s="20">
        <f t="shared" si="2"/>
        <v>0</v>
      </c>
      <c r="BG123" s="20">
        <f t="shared" si="3"/>
        <v>0</v>
      </c>
    </row>
    <row r="124" spans="1:59" ht="14.25" customHeight="1">
      <c r="A124" s="150" t="s">
        <v>59</v>
      </c>
      <c r="B124" s="150" t="s">
        <v>371</v>
      </c>
      <c r="C124" s="152" t="s">
        <v>372</v>
      </c>
      <c r="D124" s="152" t="s">
        <v>62</v>
      </c>
      <c r="E124" s="152" t="s">
        <v>114</v>
      </c>
      <c r="F124" s="150" t="s">
        <v>421</v>
      </c>
      <c r="G124" s="150" t="s">
        <v>403</v>
      </c>
      <c r="H124" s="150" t="s">
        <v>404</v>
      </c>
      <c r="I124" s="150" t="s">
        <v>405</v>
      </c>
      <c r="J124" s="181">
        <v>80111620</v>
      </c>
      <c r="K124" s="150" t="s">
        <v>406</v>
      </c>
      <c r="L124" s="150" t="s">
        <v>83</v>
      </c>
      <c r="M124" s="150" t="s">
        <v>422</v>
      </c>
      <c r="N124" s="182" t="s">
        <v>91</v>
      </c>
      <c r="O124" s="182" t="s">
        <v>91</v>
      </c>
      <c r="P124" s="182" t="s">
        <v>91</v>
      </c>
      <c r="Q124" s="150">
        <v>11.5</v>
      </c>
      <c r="R124" s="150" t="s">
        <v>72</v>
      </c>
      <c r="S124" s="150" t="s">
        <v>73</v>
      </c>
      <c r="T124" s="150" t="s">
        <v>74</v>
      </c>
      <c r="U124" s="183">
        <v>13580131</v>
      </c>
      <c r="V124" s="183">
        <v>13580131</v>
      </c>
      <c r="W124" s="150" t="s">
        <v>75</v>
      </c>
      <c r="X124" s="150" t="s">
        <v>67</v>
      </c>
      <c r="Y124" s="150" t="s">
        <v>206</v>
      </c>
      <c r="Z124" s="150" t="s">
        <v>207</v>
      </c>
      <c r="AA124" s="150">
        <v>6012220601</v>
      </c>
      <c r="AB124" s="184" t="s">
        <v>208</v>
      </c>
      <c r="AC124" s="35">
        <v>13580131</v>
      </c>
      <c r="AD124" s="35"/>
      <c r="AE124" s="35"/>
      <c r="AF124" s="35"/>
      <c r="AG124" s="35"/>
      <c r="AH124" s="35"/>
      <c r="AI124" s="35"/>
      <c r="AJ124" s="35"/>
      <c r="AK124" s="35"/>
      <c r="AL124" s="35"/>
      <c r="AM124" s="35"/>
      <c r="AN124" s="35">
        <v>3822979</v>
      </c>
      <c r="AO124" s="35"/>
      <c r="AP124" s="35">
        <v>8500000</v>
      </c>
      <c r="AQ124" s="35"/>
      <c r="AR124" s="35">
        <v>1257152</v>
      </c>
      <c r="AS124" s="35"/>
      <c r="AT124" s="35"/>
      <c r="AU124" s="42"/>
      <c r="AV124" s="42"/>
      <c r="AW124" s="42"/>
      <c r="AX124" s="42"/>
      <c r="AY124" s="42"/>
      <c r="AZ124" s="42"/>
      <c r="BA124" s="17"/>
      <c r="BB124" s="17"/>
      <c r="BC124" s="18">
        <f t="shared" ref="BC124:BD124" si="118">AC124+AE124+AG124+AI124+AK124+AM124+AO124+AQ124+AS124+AU124+AW124+AY124+BA124</f>
        <v>13580131</v>
      </c>
      <c r="BD124" s="18">
        <f t="shared" si="118"/>
        <v>13580131</v>
      </c>
      <c r="BE124" s="19">
        <f t="shared" si="1"/>
        <v>0</v>
      </c>
      <c r="BF124" s="20">
        <f t="shared" si="2"/>
        <v>0</v>
      </c>
      <c r="BG124" s="20">
        <f t="shared" si="3"/>
        <v>0</v>
      </c>
    </row>
    <row r="125" spans="1:59" ht="14.25" customHeight="1">
      <c r="A125" s="149" t="s">
        <v>59</v>
      </c>
      <c r="B125" s="149" t="s">
        <v>371</v>
      </c>
      <c r="C125" s="151" t="s">
        <v>372</v>
      </c>
      <c r="D125" s="166" t="s">
        <v>62</v>
      </c>
      <c r="E125" s="151">
        <v>36</v>
      </c>
      <c r="F125" s="149" t="s">
        <v>423</v>
      </c>
      <c r="G125" s="149" t="s">
        <v>374</v>
      </c>
      <c r="H125" s="149" t="s">
        <v>375</v>
      </c>
      <c r="I125" s="149" t="s">
        <v>380</v>
      </c>
      <c r="J125" s="173">
        <v>80111620</v>
      </c>
      <c r="K125" s="149" t="s">
        <v>377</v>
      </c>
      <c r="L125" s="149" t="s">
        <v>83</v>
      </c>
      <c r="M125" s="149" t="s">
        <v>424</v>
      </c>
      <c r="N125" s="187" t="s">
        <v>91</v>
      </c>
      <c r="O125" s="187" t="s">
        <v>91</v>
      </c>
      <c r="P125" s="187" t="s">
        <v>91</v>
      </c>
      <c r="Q125" s="149">
        <v>11</v>
      </c>
      <c r="R125" s="149" t="s">
        <v>72</v>
      </c>
      <c r="S125" s="149" t="s">
        <v>73</v>
      </c>
      <c r="T125" s="149" t="s">
        <v>74</v>
      </c>
      <c r="U125" s="175">
        <v>66800000</v>
      </c>
      <c r="V125" s="175">
        <v>66800000</v>
      </c>
      <c r="W125" s="149" t="s">
        <v>75</v>
      </c>
      <c r="X125" s="149" t="s">
        <v>67</v>
      </c>
      <c r="Y125" s="149" t="s">
        <v>147</v>
      </c>
      <c r="Z125" s="149" t="s">
        <v>148</v>
      </c>
      <c r="AA125" s="149">
        <v>6012220601</v>
      </c>
      <c r="AB125" s="172" t="s">
        <v>149</v>
      </c>
      <c r="AC125" s="35">
        <v>60000000</v>
      </c>
      <c r="AD125" s="35"/>
      <c r="AE125" s="35"/>
      <c r="AF125" s="35">
        <v>800000</v>
      </c>
      <c r="AG125" s="35"/>
      <c r="AH125" s="35">
        <v>6000000</v>
      </c>
      <c r="AI125" s="35"/>
      <c r="AJ125" s="35">
        <v>6000000</v>
      </c>
      <c r="AK125" s="35"/>
      <c r="AL125" s="35">
        <v>6000000</v>
      </c>
      <c r="AM125" s="35"/>
      <c r="AN125" s="35">
        <v>6000000</v>
      </c>
      <c r="AO125" s="35"/>
      <c r="AP125" s="35">
        <v>6000000</v>
      </c>
      <c r="AQ125" s="35"/>
      <c r="AR125" s="35">
        <v>6000000</v>
      </c>
      <c r="AS125" s="35">
        <v>6800000</v>
      </c>
      <c r="AT125" s="35">
        <v>6000000</v>
      </c>
      <c r="AU125" s="15"/>
      <c r="AV125" s="15">
        <v>6000000</v>
      </c>
      <c r="AW125" s="15"/>
      <c r="AX125" s="15">
        <v>6000000</v>
      </c>
      <c r="AY125" s="15"/>
      <c r="AZ125" s="15">
        <v>12000000</v>
      </c>
      <c r="BA125" s="17"/>
      <c r="BB125" s="17"/>
      <c r="BC125" s="18">
        <f t="shared" ref="BC125:BD125" si="119">AC125+AE125+AG125+AI125+AK125+AM125+AO125+AQ125+AS125+AU125+AW125+AY125+BA125</f>
        <v>66800000</v>
      </c>
      <c r="BD125" s="18">
        <f t="shared" si="119"/>
        <v>66800000</v>
      </c>
      <c r="BE125" s="19">
        <f t="shared" si="1"/>
        <v>0</v>
      </c>
      <c r="BF125" s="20">
        <f t="shared" si="2"/>
        <v>0</v>
      </c>
      <c r="BG125" s="20">
        <f t="shared" si="3"/>
        <v>0</v>
      </c>
    </row>
    <row r="126" spans="1:59" ht="14.25" customHeight="1">
      <c r="A126" s="147" t="s">
        <v>59</v>
      </c>
      <c r="B126" s="147" t="s">
        <v>371</v>
      </c>
      <c r="C126" s="151" t="s">
        <v>372</v>
      </c>
      <c r="D126" s="151" t="s">
        <v>62</v>
      </c>
      <c r="E126" s="151">
        <v>42</v>
      </c>
      <c r="F126" s="149" t="s">
        <v>425</v>
      </c>
      <c r="G126" s="147" t="s">
        <v>374</v>
      </c>
      <c r="H126" s="147" t="s">
        <v>375</v>
      </c>
      <c r="I126" s="147" t="s">
        <v>380</v>
      </c>
      <c r="J126" s="164">
        <v>80111620</v>
      </c>
      <c r="K126" s="147" t="s">
        <v>377</v>
      </c>
      <c r="L126" s="147" t="s">
        <v>83</v>
      </c>
      <c r="M126" s="147" t="s">
        <v>426</v>
      </c>
      <c r="N126" s="179" t="s">
        <v>91</v>
      </c>
      <c r="O126" s="179" t="s">
        <v>91</v>
      </c>
      <c r="P126" s="179" t="s">
        <v>91</v>
      </c>
      <c r="Q126" s="147">
        <v>11</v>
      </c>
      <c r="R126" s="147" t="s">
        <v>72</v>
      </c>
      <c r="S126" s="147" t="s">
        <v>73</v>
      </c>
      <c r="T126" s="147" t="s">
        <v>74</v>
      </c>
      <c r="U126" s="148">
        <v>77274000</v>
      </c>
      <c r="V126" s="148">
        <v>77274000</v>
      </c>
      <c r="W126" s="147" t="s">
        <v>75</v>
      </c>
      <c r="X126" s="147" t="s">
        <v>67</v>
      </c>
      <c r="Y126" s="147" t="s">
        <v>147</v>
      </c>
      <c r="Z126" s="147" t="s">
        <v>148</v>
      </c>
      <c r="AA126" s="147">
        <v>6012220601</v>
      </c>
      <c r="AB126" s="160" t="s">
        <v>149</v>
      </c>
      <c r="AC126" s="14">
        <v>58320000</v>
      </c>
      <c r="AD126" s="14"/>
      <c r="AE126" s="14"/>
      <c r="AF126" s="14">
        <v>486000</v>
      </c>
      <c r="AG126" s="14"/>
      <c r="AH126" s="14">
        <v>7290000</v>
      </c>
      <c r="AI126" s="14"/>
      <c r="AJ126" s="14">
        <v>7290000</v>
      </c>
      <c r="AK126" s="14"/>
      <c r="AL126" s="14">
        <v>7290000</v>
      </c>
      <c r="AM126" s="14"/>
      <c r="AN126" s="14">
        <v>7290000</v>
      </c>
      <c r="AO126" s="14"/>
      <c r="AP126" s="14">
        <v>7290000</v>
      </c>
      <c r="AQ126" s="14"/>
      <c r="AR126" s="14">
        <v>7290000</v>
      </c>
      <c r="AS126" s="14">
        <v>18954000</v>
      </c>
      <c r="AT126" s="14">
        <v>7290000</v>
      </c>
      <c r="AU126" s="25"/>
      <c r="AV126" s="25">
        <v>7290000</v>
      </c>
      <c r="AW126" s="25"/>
      <c r="AX126" s="25">
        <v>7290000</v>
      </c>
      <c r="AY126" s="25"/>
      <c r="AZ126" s="28">
        <v>11178000</v>
      </c>
      <c r="BA126" s="17"/>
      <c r="BB126" s="17"/>
      <c r="BC126" s="18">
        <f t="shared" ref="BC126:BD126" si="120">AC126+AE126+AG126+AI126+AK126+AM126+AO126+AQ126+AS126+AU126+AW126+AY126+BA126</f>
        <v>77274000</v>
      </c>
      <c r="BD126" s="18">
        <f t="shared" si="120"/>
        <v>77274000</v>
      </c>
      <c r="BE126" s="19">
        <f t="shared" si="1"/>
        <v>0</v>
      </c>
      <c r="BF126" s="20">
        <f t="shared" si="2"/>
        <v>0</v>
      </c>
      <c r="BG126" s="20">
        <f t="shared" si="3"/>
        <v>0</v>
      </c>
    </row>
    <row r="127" spans="1:59" ht="14.25" customHeight="1">
      <c r="A127" s="147" t="s">
        <v>59</v>
      </c>
      <c r="B127" s="147" t="s">
        <v>371</v>
      </c>
      <c r="C127" s="151" t="s">
        <v>372</v>
      </c>
      <c r="D127" s="151" t="s">
        <v>62</v>
      </c>
      <c r="E127" s="151">
        <v>42</v>
      </c>
      <c r="F127" s="149" t="s">
        <v>427</v>
      </c>
      <c r="G127" s="147" t="s">
        <v>389</v>
      </c>
      <c r="H127" s="147" t="s">
        <v>390</v>
      </c>
      <c r="I127" s="147" t="s">
        <v>391</v>
      </c>
      <c r="J127" s="164">
        <v>80111620</v>
      </c>
      <c r="K127" s="147" t="s">
        <v>392</v>
      </c>
      <c r="L127" s="147" t="s">
        <v>83</v>
      </c>
      <c r="M127" s="165" t="s">
        <v>428</v>
      </c>
      <c r="N127" s="179" t="s">
        <v>91</v>
      </c>
      <c r="O127" s="179" t="s">
        <v>91</v>
      </c>
      <c r="P127" s="188" t="s">
        <v>85</v>
      </c>
      <c r="Q127" s="147">
        <v>11</v>
      </c>
      <c r="R127" s="147" t="s">
        <v>72</v>
      </c>
      <c r="S127" s="147" t="s">
        <v>73</v>
      </c>
      <c r="T127" s="147" t="s">
        <v>74</v>
      </c>
      <c r="U127" s="148">
        <v>20374200</v>
      </c>
      <c r="V127" s="148">
        <v>20374200</v>
      </c>
      <c r="W127" s="147" t="s">
        <v>75</v>
      </c>
      <c r="X127" s="147" t="s">
        <v>67</v>
      </c>
      <c r="Y127" s="147" t="s">
        <v>147</v>
      </c>
      <c r="Z127" s="147" t="s">
        <v>148</v>
      </c>
      <c r="AA127" s="147">
        <v>6012220601</v>
      </c>
      <c r="AB127" s="160" t="s">
        <v>149</v>
      </c>
      <c r="AC127" s="14"/>
      <c r="AD127" s="14"/>
      <c r="AE127" s="14">
        <v>20374200</v>
      </c>
      <c r="AF127" s="14"/>
      <c r="AG127" s="14"/>
      <c r="AH127" s="14">
        <v>1617000</v>
      </c>
      <c r="AI127" s="14"/>
      <c r="AJ127" s="14">
        <v>1940400</v>
      </c>
      <c r="AK127" s="14"/>
      <c r="AL127" s="14">
        <v>1940400</v>
      </c>
      <c r="AM127" s="14"/>
      <c r="AN127" s="14">
        <v>1940400</v>
      </c>
      <c r="AO127" s="14"/>
      <c r="AP127" s="14">
        <v>1940400</v>
      </c>
      <c r="AQ127" s="14"/>
      <c r="AR127" s="14">
        <v>1940400</v>
      </c>
      <c r="AS127" s="14"/>
      <c r="AT127" s="14">
        <v>1940400</v>
      </c>
      <c r="AU127" s="15"/>
      <c r="AV127" s="15">
        <v>1940400</v>
      </c>
      <c r="AW127" s="15"/>
      <c r="AX127" s="15">
        <v>1940400</v>
      </c>
      <c r="AY127" s="15"/>
      <c r="AZ127" s="15">
        <v>3234000</v>
      </c>
      <c r="BA127" s="17"/>
      <c r="BB127" s="17"/>
      <c r="BC127" s="18">
        <f t="shared" ref="BC127:BD127" si="121">AC127+AE127+AG127+AI127+AK127+AM127+AO127+AQ127+AS127+AU127+AW127+AY127+BA127</f>
        <v>20374200</v>
      </c>
      <c r="BD127" s="18">
        <f t="shared" si="121"/>
        <v>20374200</v>
      </c>
      <c r="BE127" s="19">
        <f t="shared" si="1"/>
        <v>0</v>
      </c>
      <c r="BF127" s="20">
        <f t="shared" si="2"/>
        <v>0</v>
      </c>
      <c r="BG127" s="20">
        <f t="shared" si="3"/>
        <v>0</v>
      </c>
    </row>
    <row r="128" spans="1:59" ht="14.25" customHeight="1">
      <c r="A128" s="147" t="s">
        <v>59</v>
      </c>
      <c r="B128" s="147" t="s">
        <v>371</v>
      </c>
      <c r="C128" s="151" t="s">
        <v>372</v>
      </c>
      <c r="D128" s="151" t="s">
        <v>62</v>
      </c>
      <c r="E128" s="151" t="s">
        <v>114</v>
      </c>
      <c r="F128" s="149" t="s">
        <v>429</v>
      </c>
      <c r="G128" s="147" t="s">
        <v>374</v>
      </c>
      <c r="H128" s="147" t="s">
        <v>375</v>
      </c>
      <c r="I128" s="147" t="s">
        <v>380</v>
      </c>
      <c r="J128" s="164">
        <v>43233201</v>
      </c>
      <c r="K128" s="147" t="s">
        <v>377</v>
      </c>
      <c r="L128" s="147" t="s">
        <v>145</v>
      </c>
      <c r="M128" s="147" t="s">
        <v>430</v>
      </c>
      <c r="N128" s="179" t="s">
        <v>142</v>
      </c>
      <c r="O128" s="179" t="s">
        <v>71</v>
      </c>
      <c r="P128" s="187" t="s">
        <v>180</v>
      </c>
      <c r="Q128" s="147">
        <v>12</v>
      </c>
      <c r="R128" s="147" t="s">
        <v>72</v>
      </c>
      <c r="S128" s="147" t="s">
        <v>431</v>
      </c>
      <c r="T128" s="147" t="s">
        <v>74</v>
      </c>
      <c r="U128" s="148">
        <v>1500000</v>
      </c>
      <c r="V128" s="148">
        <v>1500000</v>
      </c>
      <c r="W128" s="147" t="s">
        <v>75</v>
      </c>
      <c r="X128" s="147" t="s">
        <v>67</v>
      </c>
      <c r="Y128" s="147" t="s">
        <v>147</v>
      </c>
      <c r="Z128" s="147" t="s">
        <v>148</v>
      </c>
      <c r="AA128" s="147">
        <v>6012220601</v>
      </c>
      <c r="AB128" s="160" t="s">
        <v>149</v>
      </c>
      <c r="AC128" s="14"/>
      <c r="AD128" s="14"/>
      <c r="AE128" s="14"/>
      <c r="AF128" s="14"/>
      <c r="AG128" s="14"/>
      <c r="AH128" s="14"/>
      <c r="AI128" s="14"/>
      <c r="AJ128" s="14"/>
      <c r="AK128" s="14"/>
      <c r="AL128" s="14"/>
      <c r="AM128" s="14"/>
      <c r="AN128" s="14"/>
      <c r="AO128" s="14"/>
      <c r="AP128" s="14"/>
      <c r="AQ128" s="14"/>
      <c r="AR128" s="14"/>
      <c r="AS128" s="14"/>
      <c r="AT128" s="14"/>
      <c r="AU128" s="28">
        <v>1500000</v>
      </c>
      <c r="AV128" s="25"/>
      <c r="AW128" s="25"/>
      <c r="AX128" s="25"/>
      <c r="AY128" s="25"/>
      <c r="AZ128" s="28">
        <v>1500000</v>
      </c>
      <c r="BA128" s="17"/>
      <c r="BB128" s="17"/>
      <c r="BC128" s="18">
        <f t="shared" ref="BC128:BD128" si="122">AC128+AE128+AG128+AI128+AK128+AM128+AO128+AQ128+AS128+AU128+AW128+AY128+BA128</f>
        <v>1500000</v>
      </c>
      <c r="BD128" s="18">
        <f t="shared" si="122"/>
        <v>1500000</v>
      </c>
      <c r="BE128" s="19">
        <f t="shared" si="1"/>
        <v>0</v>
      </c>
      <c r="BF128" s="20">
        <f t="shared" si="2"/>
        <v>0</v>
      </c>
      <c r="BG128" s="20">
        <f t="shared" si="3"/>
        <v>0</v>
      </c>
    </row>
    <row r="129" spans="1:59" ht="14.25" customHeight="1">
      <c r="A129" s="147" t="s">
        <v>59</v>
      </c>
      <c r="B129" s="147" t="s">
        <v>371</v>
      </c>
      <c r="C129" s="151" t="s">
        <v>372</v>
      </c>
      <c r="D129" s="151" t="s">
        <v>62</v>
      </c>
      <c r="E129" s="151">
        <v>42</v>
      </c>
      <c r="F129" s="149" t="s">
        <v>432</v>
      </c>
      <c r="G129" s="147" t="s">
        <v>374</v>
      </c>
      <c r="H129" s="147" t="s">
        <v>375</v>
      </c>
      <c r="I129" s="147" t="s">
        <v>380</v>
      </c>
      <c r="J129" s="164">
        <v>43233203</v>
      </c>
      <c r="K129" s="147" t="s">
        <v>377</v>
      </c>
      <c r="L129" s="147" t="s">
        <v>145</v>
      </c>
      <c r="M129" s="147" t="s">
        <v>433</v>
      </c>
      <c r="N129" s="179" t="s">
        <v>180</v>
      </c>
      <c r="O129" s="179" t="s">
        <v>226</v>
      </c>
      <c r="P129" s="187" t="s">
        <v>226</v>
      </c>
      <c r="Q129" s="147">
        <v>12</v>
      </c>
      <c r="R129" s="147" t="s">
        <v>72</v>
      </c>
      <c r="S129" s="147" t="s">
        <v>431</v>
      </c>
      <c r="T129" s="147" t="s">
        <v>74</v>
      </c>
      <c r="U129" s="148">
        <v>20926150</v>
      </c>
      <c r="V129" s="148">
        <v>20926150</v>
      </c>
      <c r="W129" s="147" t="s">
        <v>75</v>
      </c>
      <c r="X129" s="147" t="s">
        <v>67</v>
      </c>
      <c r="Y129" s="147" t="s">
        <v>147</v>
      </c>
      <c r="Z129" s="147" t="s">
        <v>148</v>
      </c>
      <c r="AA129" s="147">
        <v>6012220601</v>
      </c>
      <c r="AB129" s="160" t="s">
        <v>149</v>
      </c>
      <c r="AC129" s="14"/>
      <c r="AD129" s="14"/>
      <c r="AE129" s="14"/>
      <c r="AF129" s="14"/>
      <c r="AG129" s="14"/>
      <c r="AH129" s="14"/>
      <c r="AI129" s="14"/>
      <c r="AJ129" s="14"/>
      <c r="AK129" s="14"/>
      <c r="AL129" s="14"/>
      <c r="AM129" s="14"/>
      <c r="AN129" s="14"/>
      <c r="AO129" s="14"/>
      <c r="AP129" s="14"/>
      <c r="AQ129" s="14"/>
      <c r="AR129" s="14"/>
      <c r="AS129" s="14"/>
      <c r="AT129" s="14"/>
      <c r="AU129" s="25"/>
      <c r="AV129" s="25"/>
      <c r="AW129" s="28">
        <v>20926150</v>
      </c>
      <c r="AX129" s="25"/>
      <c r="AY129" s="25"/>
      <c r="AZ129" s="28">
        <v>20926150</v>
      </c>
      <c r="BA129" s="17"/>
      <c r="BB129" s="17"/>
      <c r="BC129" s="18">
        <f t="shared" ref="BC129:BD129" si="123">AC129+AE129+AG129+AI129+AK129+AM129+AO129+AQ129+AS129+AU129+AW129+AY129+BA129</f>
        <v>20926150</v>
      </c>
      <c r="BD129" s="18">
        <f t="shared" si="123"/>
        <v>20926150</v>
      </c>
      <c r="BE129" s="19">
        <f t="shared" si="1"/>
        <v>0</v>
      </c>
      <c r="BF129" s="20">
        <f t="shared" si="2"/>
        <v>0</v>
      </c>
      <c r="BG129" s="20">
        <f t="shared" si="3"/>
        <v>0</v>
      </c>
    </row>
    <row r="130" spans="1:59" ht="14.25" customHeight="1">
      <c r="A130" s="147" t="s">
        <v>59</v>
      </c>
      <c r="B130" s="147" t="s">
        <v>371</v>
      </c>
      <c r="C130" s="151" t="s">
        <v>372</v>
      </c>
      <c r="D130" s="151" t="s">
        <v>62</v>
      </c>
      <c r="E130" s="151">
        <v>36</v>
      </c>
      <c r="F130" s="149" t="s">
        <v>434</v>
      </c>
      <c r="G130" s="147" t="s">
        <v>389</v>
      </c>
      <c r="H130" s="147" t="s">
        <v>390</v>
      </c>
      <c r="I130" s="147" t="s">
        <v>391</v>
      </c>
      <c r="J130" s="164">
        <v>43232804</v>
      </c>
      <c r="K130" s="147" t="s">
        <v>392</v>
      </c>
      <c r="L130" s="147" t="s">
        <v>435</v>
      </c>
      <c r="M130" s="147" t="s">
        <v>436</v>
      </c>
      <c r="N130" s="147" t="s">
        <v>180</v>
      </c>
      <c r="O130" s="147" t="s">
        <v>180</v>
      </c>
      <c r="P130" s="147" t="s">
        <v>226</v>
      </c>
      <c r="Q130" s="147">
        <v>12</v>
      </c>
      <c r="R130" s="147" t="s">
        <v>72</v>
      </c>
      <c r="S130" s="147" t="s">
        <v>431</v>
      </c>
      <c r="T130" s="147" t="s">
        <v>74</v>
      </c>
      <c r="U130" s="148">
        <v>66749718</v>
      </c>
      <c r="V130" s="148">
        <v>66749718</v>
      </c>
      <c r="W130" s="147" t="s">
        <v>75</v>
      </c>
      <c r="X130" s="147" t="s">
        <v>67</v>
      </c>
      <c r="Y130" s="147" t="s">
        <v>147</v>
      </c>
      <c r="Z130" s="147" t="s">
        <v>148</v>
      </c>
      <c r="AA130" s="147">
        <v>6012220601</v>
      </c>
      <c r="AB130" s="160" t="s">
        <v>149</v>
      </c>
      <c r="AC130" s="14"/>
      <c r="AD130" s="14"/>
      <c r="AE130" s="14"/>
      <c r="AF130" s="14"/>
      <c r="AG130" s="14"/>
      <c r="AH130" s="14"/>
      <c r="AI130" s="14"/>
      <c r="AJ130" s="14"/>
      <c r="AK130" s="14"/>
      <c r="AL130" s="14"/>
      <c r="AM130" s="14"/>
      <c r="AN130" s="14"/>
      <c r="AO130" s="14"/>
      <c r="AP130" s="14"/>
      <c r="AQ130" s="14"/>
      <c r="AR130" s="14"/>
      <c r="AS130" s="14"/>
      <c r="AT130" s="14"/>
      <c r="AU130" s="25">
        <v>66749718</v>
      </c>
      <c r="AV130" s="25"/>
      <c r="AW130" s="25"/>
      <c r="AX130" s="25"/>
      <c r="AY130" s="25"/>
      <c r="AZ130" s="25">
        <v>66749718</v>
      </c>
      <c r="BA130" s="17"/>
      <c r="BB130" s="17"/>
      <c r="BC130" s="18">
        <f t="shared" ref="BC130:BD130" si="124">AC130+AE130+AG130+AI130+AK130+AM130+AO130+AQ130+AS130+AU130+AW130+AY130+BA130</f>
        <v>66749718</v>
      </c>
      <c r="BD130" s="18">
        <f t="shared" si="124"/>
        <v>66749718</v>
      </c>
      <c r="BE130" s="19">
        <f t="shared" si="1"/>
        <v>0</v>
      </c>
      <c r="BF130" s="20">
        <f t="shared" si="2"/>
        <v>0</v>
      </c>
      <c r="BG130" s="20">
        <f t="shared" si="3"/>
        <v>0</v>
      </c>
    </row>
    <row r="131" spans="1:59" ht="14.25" customHeight="1">
      <c r="A131" s="147" t="s">
        <v>59</v>
      </c>
      <c r="B131" s="147" t="s">
        <v>371</v>
      </c>
      <c r="C131" s="151" t="s">
        <v>372</v>
      </c>
      <c r="D131" s="151" t="s">
        <v>62</v>
      </c>
      <c r="E131" s="151">
        <v>16</v>
      </c>
      <c r="F131" s="149" t="s">
        <v>437</v>
      </c>
      <c r="G131" s="147" t="s">
        <v>389</v>
      </c>
      <c r="H131" s="147" t="s">
        <v>390</v>
      </c>
      <c r="I131" s="147" t="s">
        <v>391</v>
      </c>
      <c r="J131" s="164">
        <v>43233204</v>
      </c>
      <c r="K131" s="147" t="s">
        <v>392</v>
      </c>
      <c r="L131" s="147" t="s">
        <v>145</v>
      </c>
      <c r="M131" s="147" t="s">
        <v>438</v>
      </c>
      <c r="N131" s="179" t="s">
        <v>71</v>
      </c>
      <c r="O131" s="179" t="s">
        <v>180</v>
      </c>
      <c r="P131" s="179" t="s">
        <v>226</v>
      </c>
      <c r="Q131" s="147">
        <v>12</v>
      </c>
      <c r="R131" s="147" t="s">
        <v>72</v>
      </c>
      <c r="S131" s="147" t="s">
        <v>431</v>
      </c>
      <c r="T131" s="147" t="s">
        <v>74</v>
      </c>
      <c r="U131" s="148">
        <v>137493373</v>
      </c>
      <c r="V131" s="148">
        <v>137493373</v>
      </c>
      <c r="W131" s="147" t="s">
        <v>75</v>
      </c>
      <c r="X131" s="147" t="s">
        <v>67</v>
      </c>
      <c r="Y131" s="147" t="s">
        <v>147</v>
      </c>
      <c r="Z131" s="147" t="s">
        <v>148</v>
      </c>
      <c r="AA131" s="147">
        <v>6012220601</v>
      </c>
      <c r="AB131" s="160" t="s">
        <v>149</v>
      </c>
      <c r="AC131" s="14"/>
      <c r="AD131" s="14"/>
      <c r="AE131" s="14"/>
      <c r="AF131" s="14"/>
      <c r="AG131" s="14"/>
      <c r="AH131" s="14"/>
      <c r="AI131" s="14"/>
      <c r="AJ131" s="14"/>
      <c r="AK131" s="14"/>
      <c r="AL131" s="14"/>
      <c r="AM131" s="14"/>
      <c r="AN131" s="14"/>
      <c r="AO131" s="14"/>
      <c r="AP131" s="14"/>
      <c r="AQ131" s="14"/>
      <c r="AR131" s="14"/>
      <c r="AS131" s="14"/>
      <c r="AT131" s="14"/>
      <c r="AU131" s="25"/>
      <c r="AV131" s="25"/>
      <c r="AW131" s="25">
        <v>137493373</v>
      </c>
      <c r="AX131" s="25"/>
      <c r="AY131" s="46"/>
      <c r="AZ131" s="28">
        <v>137493373</v>
      </c>
      <c r="BA131" s="17"/>
      <c r="BB131" s="17"/>
      <c r="BC131" s="18">
        <f t="shared" ref="BC131:BD131" si="125">AC131+AE131+AG131+AI131+AK131+AM131+AO131+AQ131+AS131+AU131+AW131+AY131+BA131</f>
        <v>137493373</v>
      </c>
      <c r="BD131" s="18">
        <f t="shared" si="125"/>
        <v>137493373</v>
      </c>
      <c r="BE131" s="19">
        <f t="shared" si="1"/>
        <v>0</v>
      </c>
      <c r="BF131" s="20">
        <f t="shared" si="2"/>
        <v>0</v>
      </c>
      <c r="BG131" s="20">
        <f t="shared" si="3"/>
        <v>0</v>
      </c>
    </row>
    <row r="132" spans="1:59" ht="14.25" customHeight="1">
      <c r="A132" s="147" t="s">
        <v>59</v>
      </c>
      <c r="B132" s="147" t="s">
        <v>371</v>
      </c>
      <c r="C132" s="151" t="s">
        <v>372</v>
      </c>
      <c r="D132" s="151" t="s">
        <v>62</v>
      </c>
      <c r="E132" s="151" t="s">
        <v>114</v>
      </c>
      <c r="F132" s="149" t="s">
        <v>439</v>
      </c>
      <c r="G132" s="147" t="s">
        <v>389</v>
      </c>
      <c r="H132" s="147" t="s">
        <v>390</v>
      </c>
      <c r="I132" s="147" t="s">
        <v>391</v>
      </c>
      <c r="J132" s="164">
        <v>43231513</v>
      </c>
      <c r="K132" s="147" t="s">
        <v>392</v>
      </c>
      <c r="L132" s="147" t="s">
        <v>145</v>
      </c>
      <c r="M132" s="147" t="s">
        <v>440</v>
      </c>
      <c r="N132" s="179" t="s">
        <v>71</v>
      </c>
      <c r="O132" s="179" t="s">
        <v>180</v>
      </c>
      <c r="P132" s="179" t="s">
        <v>226</v>
      </c>
      <c r="Q132" s="147">
        <v>12</v>
      </c>
      <c r="R132" s="147" t="s">
        <v>72</v>
      </c>
      <c r="S132" s="147" t="s">
        <v>431</v>
      </c>
      <c r="T132" s="147" t="s">
        <v>74</v>
      </c>
      <c r="U132" s="148">
        <v>111405278</v>
      </c>
      <c r="V132" s="148">
        <v>111405278</v>
      </c>
      <c r="W132" s="147" t="s">
        <v>75</v>
      </c>
      <c r="X132" s="147" t="s">
        <v>67</v>
      </c>
      <c r="Y132" s="147" t="s">
        <v>147</v>
      </c>
      <c r="Z132" s="147" t="s">
        <v>148</v>
      </c>
      <c r="AA132" s="147">
        <v>6012220601</v>
      </c>
      <c r="AB132" s="160" t="s">
        <v>149</v>
      </c>
      <c r="AC132" s="14"/>
      <c r="AD132" s="14"/>
      <c r="AE132" s="14"/>
      <c r="AF132" s="14"/>
      <c r="AG132" s="14"/>
      <c r="AH132" s="14"/>
      <c r="AI132" s="14"/>
      <c r="AJ132" s="14"/>
      <c r="AK132" s="14"/>
      <c r="AL132" s="14"/>
      <c r="AM132" s="14"/>
      <c r="AN132" s="14"/>
      <c r="AO132" s="14"/>
      <c r="AP132" s="14"/>
      <c r="AQ132" s="14"/>
      <c r="AR132" s="14"/>
      <c r="AS132" s="14"/>
      <c r="AT132" s="14"/>
      <c r="AU132" s="25"/>
      <c r="AV132" s="25"/>
      <c r="AW132" s="25">
        <v>111405278</v>
      </c>
      <c r="AX132" s="25"/>
      <c r="AY132" s="46"/>
      <c r="AZ132" s="28">
        <v>111405278</v>
      </c>
      <c r="BA132" s="17"/>
      <c r="BB132" s="17"/>
      <c r="BC132" s="18">
        <f t="shared" ref="BC132:BD132" si="126">AC132+AE132+AG132+AI132+AK132+AM132+AO132+AQ132+AS132+AU132+AW132+AY132+BA132</f>
        <v>111405278</v>
      </c>
      <c r="BD132" s="18">
        <f t="shared" si="126"/>
        <v>111405278</v>
      </c>
      <c r="BE132" s="19">
        <f t="shared" si="1"/>
        <v>0</v>
      </c>
      <c r="BF132" s="20">
        <f t="shared" si="2"/>
        <v>0</v>
      </c>
      <c r="BG132" s="20">
        <f t="shared" si="3"/>
        <v>0</v>
      </c>
    </row>
    <row r="133" spans="1:59" ht="14.25" customHeight="1">
      <c r="A133" s="147" t="s">
        <v>59</v>
      </c>
      <c r="B133" s="147" t="s">
        <v>371</v>
      </c>
      <c r="C133" s="151" t="s">
        <v>372</v>
      </c>
      <c r="D133" s="151" t="s">
        <v>62</v>
      </c>
      <c r="E133" s="151">
        <v>42</v>
      </c>
      <c r="F133" s="149" t="s">
        <v>441</v>
      </c>
      <c r="G133" s="147" t="s">
        <v>389</v>
      </c>
      <c r="H133" s="147" t="s">
        <v>390</v>
      </c>
      <c r="I133" s="147" t="s">
        <v>391</v>
      </c>
      <c r="J133" s="164">
        <v>81112003</v>
      </c>
      <c r="K133" s="147" t="s">
        <v>392</v>
      </c>
      <c r="L133" s="147" t="s">
        <v>442</v>
      </c>
      <c r="M133" s="147" t="s">
        <v>443</v>
      </c>
      <c r="N133" s="147" t="s">
        <v>71</v>
      </c>
      <c r="O133" s="147" t="s">
        <v>180</v>
      </c>
      <c r="P133" s="147" t="s">
        <v>180</v>
      </c>
      <c r="Q133" s="147">
        <v>12</v>
      </c>
      <c r="R133" s="147" t="s">
        <v>72</v>
      </c>
      <c r="S133" s="147" t="s">
        <v>143</v>
      </c>
      <c r="T133" s="147" t="s">
        <v>74</v>
      </c>
      <c r="U133" s="148">
        <v>142354792</v>
      </c>
      <c r="V133" s="148">
        <v>142354792</v>
      </c>
      <c r="W133" s="147" t="s">
        <v>75</v>
      </c>
      <c r="X133" s="147" t="s">
        <v>67</v>
      </c>
      <c r="Y133" s="147" t="s">
        <v>147</v>
      </c>
      <c r="Z133" s="147" t="s">
        <v>148</v>
      </c>
      <c r="AA133" s="147">
        <v>6012220601</v>
      </c>
      <c r="AB133" s="160" t="s">
        <v>149</v>
      </c>
      <c r="AC133" s="14"/>
      <c r="AD133" s="14"/>
      <c r="AE133" s="14"/>
      <c r="AF133" s="14"/>
      <c r="AG133" s="14"/>
      <c r="AH133" s="14"/>
      <c r="AI133" s="14"/>
      <c r="AJ133" s="14"/>
      <c r="AK133" s="14"/>
      <c r="AL133" s="14"/>
      <c r="AM133" s="14"/>
      <c r="AN133" s="14"/>
      <c r="AO133" s="14"/>
      <c r="AP133" s="14"/>
      <c r="AQ133" s="14"/>
      <c r="AR133" s="14"/>
      <c r="AS133" s="14"/>
      <c r="AT133" s="14"/>
      <c r="AU133" s="25">
        <v>142354792</v>
      </c>
      <c r="AV133" s="25"/>
      <c r="AW133" s="25"/>
      <c r="AX133" s="25"/>
      <c r="AY133" s="46"/>
      <c r="AZ133" s="28">
        <v>142354792</v>
      </c>
      <c r="BA133" s="17"/>
      <c r="BB133" s="17"/>
      <c r="BC133" s="18">
        <f t="shared" ref="BC133:BD133" si="127">AC133+AE133+AG133+AI133+AK133+AM133+AO133+AQ133+AS133+AU133+AW133+AY133+BA133</f>
        <v>142354792</v>
      </c>
      <c r="BD133" s="18">
        <f t="shared" si="127"/>
        <v>142354792</v>
      </c>
      <c r="BE133" s="19">
        <f t="shared" si="1"/>
        <v>0</v>
      </c>
      <c r="BF133" s="20">
        <f t="shared" si="2"/>
        <v>0</v>
      </c>
      <c r="BG133" s="20">
        <f t="shared" si="3"/>
        <v>0</v>
      </c>
    </row>
    <row r="134" spans="1:59" ht="14.25" customHeight="1">
      <c r="A134" s="147" t="s">
        <v>59</v>
      </c>
      <c r="B134" s="147" t="s">
        <v>371</v>
      </c>
      <c r="C134" s="151" t="s">
        <v>372</v>
      </c>
      <c r="D134" s="151" t="s">
        <v>62</v>
      </c>
      <c r="E134" s="151">
        <v>2</v>
      </c>
      <c r="F134" s="149" t="s">
        <v>444</v>
      </c>
      <c r="G134" s="147" t="s">
        <v>389</v>
      </c>
      <c r="H134" s="147" t="s">
        <v>390</v>
      </c>
      <c r="I134" s="147" t="s">
        <v>413</v>
      </c>
      <c r="J134" s="164">
        <v>81112210</v>
      </c>
      <c r="K134" s="147" t="s">
        <v>392</v>
      </c>
      <c r="L134" s="147" t="s">
        <v>445</v>
      </c>
      <c r="M134" s="147" t="s">
        <v>446</v>
      </c>
      <c r="N134" s="179" t="s">
        <v>91</v>
      </c>
      <c r="O134" s="147" t="s">
        <v>91</v>
      </c>
      <c r="P134" s="147" t="s">
        <v>91</v>
      </c>
      <c r="Q134" s="147">
        <v>11.5</v>
      </c>
      <c r="R134" s="147" t="s">
        <v>72</v>
      </c>
      <c r="S134" s="147" t="s">
        <v>431</v>
      </c>
      <c r="T134" s="147" t="s">
        <v>74</v>
      </c>
      <c r="U134" s="148">
        <v>72620659</v>
      </c>
      <c r="V134" s="148">
        <v>72620659</v>
      </c>
      <c r="W134" s="147" t="s">
        <v>75</v>
      </c>
      <c r="X134" s="147" t="s">
        <v>67</v>
      </c>
      <c r="Y134" s="147" t="s">
        <v>147</v>
      </c>
      <c r="Z134" s="147" t="s">
        <v>148</v>
      </c>
      <c r="AA134" s="147">
        <v>6012220601</v>
      </c>
      <c r="AB134" s="160" t="s">
        <v>149</v>
      </c>
      <c r="AC134" s="14">
        <v>72620659</v>
      </c>
      <c r="AD134" s="14"/>
      <c r="AE134" s="14"/>
      <c r="AF134" s="14">
        <v>1623989.43</v>
      </c>
      <c r="AG134" s="14"/>
      <c r="AH134" s="14">
        <v>4429066</v>
      </c>
      <c r="AI134" s="14"/>
      <c r="AJ134" s="14">
        <v>4429066</v>
      </c>
      <c r="AK134" s="14"/>
      <c r="AL134" s="14">
        <v>9449066.1300000008</v>
      </c>
      <c r="AM134" s="14"/>
      <c r="AN134" s="14">
        <v>4429066</v>
      </c>
      <c r="AO134" s="14"/>
      <c r="AP134" s="14">
        <v>4429066</v>
      </c>
      <c r="AQ134" s="14"/>
      <c r="AR134" s="14">
        <v>4429066</v>
      </c>
      <c r="AS134" s="14"/>
      <c r="AT134" s="14">
        <v>4429066</v>
      </c>
      <c r="AU134" s="15"/>
      <c r="AV134" s="15">
        <v>4429066</v>
      </c>
      <c r="AW134" s="15"/>
      <c r="AX134" s="15">
        <v>4429066</v>
      </c>
      <c r="AY134" s="15"/>
      <c r="AZ134" s="15">
        <v>26115075.440000001</v>
      </c>
      <c r="BA134" s="17"/>
      <c r="BB134" s="17"/>
      <c r="BC134" s="18">
        <f t="shared" ref="BC134:BD134" si="128">AC134+AE134+AG134+AI134+AK134+AM134+AO134+AQ134+AS134+AU134+AW134+AY134+BA134</f>
        <v>72620659</v>
      </c>
      <c r="BD134" s="18">
        <f t="shared" si="128"/>
        <v>72620659</v>
      </c>
      <c r="BE134" s="19">
        <f t="shared" si="1"/>
        <v>0</v>
      </c>
      <c r="BF134" s="20">
        <f t="shared" si="2"/>
        <v>0</v>
      </c>
      <c r="BG134" s="20">
        <f t="shared" si="3"/>
        <v>0</v>
      </c>
    </row>
    <row r="135" spans="1:59" ht="14.25" customHeight="1">
      <c r="A135" s="147" t="s">
        <v>59</v>
      </c>
      <c r="B135" s="147" t="s">
        <v>371</v>
      </c>
      <c r="C135" s="151" t="s">
        <v>372</v>
      </c>
      <c r="D135" s="151" t="s">
        <v>62</v>
      </c>
      <c r="E135" s="151">
        <v>36</v>
      </c>
      <c r="F135" s="149" t="s">
        <v>447</v>
      </c>
      <c r="G135" s="147" t="s">
        <v>389</v>
      </c>
      <c r="H135" s="147" t="s">
        <v>390</v>
      </c>
      <c r="I135" s="147" t="s">
        <v>391</v>
      </c>
      <c r="J135" s="164">
        <v>43233600</v>
      </c>
      <c r="K135" s="147" t="s">
        <v>392</v>
      </c>
      <c r="L135" s="147" t="s">
        <v>442</v>
      </c>
      <c r="M135" s="147" t="s">
        <v>448</v>
      </c>
      <c r="N135" s="147" t="s">
        <v>142</v>
      </c>
      <c r="O135" s="147" t="s">
        <v>142</v>
      </c>
      <c r="P135" s="147" t="s">
        <v>142</v>
      </c>
      <c r="Q135" s="147">
        <v>12</v>
      </c>
      <c r="R135" s="147" t="s">
        <v>72</v>
      </c>
      <c r="S135" s="147" t="s">
        <v>431</v>
      </c>
      <c r="T135" s="147" t="s">
        <v>74</v>
      </c>
      <c r="U135" s="148">
        <v>210000000</v>
      </c>
      <c r="V135" s="148">
        <v>210000000</v>
      </c>
      <c r="W135" s="147" t="s">
        <v>75</v>
      </c>
      <c r="X135" s="147" t="s">
        <v>67</v>
      </c>
      <c r="Y135" s="147" t="s">
        <v>147</v>
      </c>
      <c r="Z135" s="147" t="s">
        <v>148</v>
      </c>
      <c r="AA135" s="147">
        <v>6012220601</v>
      </c>
      <c r="AB135" s="160" t="s">
        <v>149</v>
      </c>
      <c r="AC135" s="14"/>
      <c r="AD135" s="14"/>
      <c r="AE135" s="14"/>
      <c r="AF135" s="14"/>
      <c r="AG135" s="14"/>
      <c r="AH135" s="14"/>
      <c r="AI135" s="14"/>
      <c r="AJ135" s="14"/>
      <c r="AK135" s="14"/>
      <c r="AL135" s="14"/>
      <c r="AM135" s="14"/>
      <c r="AN135" s="14"/>
      <c r="AO135" s="14"/>
      <c r="AP135" s="14"/>
      <c r="AQ135" s="14"/>
      <c r="AR135" s="14"/>
      <c r="AS135" s="14"/>
      <c r="AT135" s="14"/>
      <c r="AU135" s="15">
        <v>210000000</v>
      </c>
      <c r="AV135" s="15"/>
      <c r="AW135" s="15"/>
      <c r="AX135" s="15"/>
      <c r="AY135" s="15"/>
      <c r="AZ135" s="15">
        <v>210000000</v>
      </c>
      <c r="BA135" s="17"/>
      <c r="BB135" s="17"/>
      <c r="BC135" s="18">
        <f t="shared" ref="BC135:BD135" si="129">AC135+AE135+AG135+AI135+AK135+AM135+AO135+AQ135+AS135+AU135+AW135+AY135+BA135</f>
        <v>210000000</v>
      </c>
      <c r="BD135" s="18">
        <f t="shared" si="129"/>
        <v>210000000</v>
      </c>
      <c r="BE135" s="19">
        <f t="shared" si="1"/>
        <v>0</v>
      </c>
      <c r="BF135" s="20">
        <f t="shared" si="2"/>
        <v>0</v>
      </c>
      <c r="BG135" s="20">
        <f t="shared" si="3"/>
        <v>0</v>
      </c>
    </row>
    <row r="136" spans="1:59" ht="14.25" customHeight="1">
      <c r="A136" s="147" t="s">
        <v>59</v>
      </c>
      <c r="B136" s="147" t="s">
        <v>371</v>
      </c>
      <c r="C136" s="151" t="s">
        <v>372</v>
      </c>
      <c r="D136" s="151" t="s">
        <v>62</v>
      </c>
      <c r="E136" s="151">
        <v>42</v>
      </c>
      <c r="F136" s="149" t="s">
        <v>449</v>
      </c>
      <c r="G136" s="147" t="s">
        <v>389</v>
      </c>
      <c r="H136" s="147" t="s">
        <v>390</v>
      </c>
      <c r="I136" s="147" t="s">
        <v>391</v>
      </c>
      <c r="J136" s="164">
        <v>43233501</v>
      </c>
      <c r="K136" s="147" t="s">
        <v>392</v>
      </c>
      <c r="L136" s="147" t="s">
        <v>145</v>
      </c>
      <c r="M136" s="147" t="s">
        <v>450</v>
      </c>
      <c r="N136" s="179" t="s">
        <v>100</v>
      </c>
      <c r="O136" s="179" t="s">
        <v>142</v>
      </c>
      <c r="P136" s="179" t="s">
        <v>71</v>
      </c>
      <c r="Q136" s="147">
        <v>12</v>
      </c>
      <c r="R136" s="147" t="s">
        <v>72</v>
      </c>
      <c r="S136" s="147" t="s">
        <v>143</v>
      </c>
      <c r="T136" s="147" t="s">
        <v>74</v>
      </c>
      <c r="U136" s="148">
        <v>443611162</v>
      </c>
      <c r="V136" s="148">
        <v>443611162</v>
      </c>
      <c r="W136" s="147" t="s">
        <v>75</v>
      </c>
      <c r="X136" s="147" t="s">
        <v>67</v>
      </c>
      <c r="Y136" s="147" t="s">
        <v>147</v>
      </c>
      <c r="Z136" s="147" t="s">
        <v>148</v>
      </c>
      <c r="AA136" s="147">
        <v>6012220601</v>
      </c>
      <c r="AB136" s="160" t="s">
        <v>149</v>
      </c>
      <c r="AC136" s="14"/>
      <c r="AD136" s="14"/>
      <c r="AE136" s="14"/>
      <c r="AF136" s="14"/>
      <c r="AG136" s="14"/>
      <c r="AH136" s="14"/>
      <c r="AI136" s="14"/>
      <c r="AJ136" s="14"/>
      <c r="AK136" s="14"/>
      <c r="AL136" s="14"/>
      <c r="AM136" s="14"/>
      <c r="AN136" s="14"/>
      <c r="AO136" s="14"/>
      <c r="AP136" s="14"/>
      <c r="AQ136" s="14"/>
      <c r="AR136" s="14"/>
      <c r="AS136" s="14"/>
      <c r="AT136" s="14"/>
      <c r="AU136" s="15">
        <v>443611162</v>
      </c>
      <c r="AV136" s="15"/>
      <c r="AW136" s="15"/>
      <c r="AX136" s="15"/>
      <c r="AY136" s="15"/>
      <c r="AZ136" s="15">
        <v>443611162</v>
      </c>
      <c r="BA136" s="17"/>
      <c r="BB136" s="17"/>
      <c r="BC136" s="18">
        <f t="shared" ref="BC136:BD136" si="130">AC136+AE136+AG136+AI136+AK136+AM136+AO136+AQ136+AS136+AU136+AW136+AY136+BA136</f>
        <v>443611162</v>
      </c>
      <c r="BD136" s="18">
        <f t="shared" si="130"/>
        <v>443611162</v>
      </c>
      <c r="BE136" s="19">
        <f t="shared" si="1"/>
        <v>0</v>
      </c>
      <c r="BF136" s="20">
        <f t="shared" si="2"/>
        <v>0</v>
      </c>
      <c r="BG136" s="20">
        <f t="shared" si="3"/>
        <v>0</v>
      </c>
    </row>
    <row r="137" spans="1:59" ht="14.25" customHeight="1">
      <c r="A137" s="147" t="s">
        <v>59</v>
      </c>
      <c r="B137" s="147" t="s">
        <v>371</v>
      </c>
      <c r="C137" s="151" t="s">
        <v>372</v>
      </c>
      <c r="D137" s="151" t="s">
        <v>62</v>
      </c>
      <c r="E137" s="151" t="s">
        <v>114</v>
      </c>
      <c r="F137" s="149" t="s">
        <v>451</v>
      </c>
      <c r="G137" s="147" t="s">
        <v>389</v>
      </c>
      <c r="H137" s="147" t="s">
        <v>390</v>
      </c>
      <c r="I137" s="147" t="s">
        <v>391</v>
      </c>
      <c r="J137" s="164">
        <v>43231513</v>
      </c>
      <c r="K137" s="147" t="s">
        <v>392</v>
      </c>
      <c r="L137" s="147" t="s">
        <v>145</v>
      </c>
      <c r="M137" s="147" t="s">
        <v>452</v>
      </c>
      <c r="N137" s="179" t="s">
        <v>85</v>
      </c>
      <c r="O137" s="179" t="s">
        <v>86</v>
      </c>
      <c r="P137" s="179" t="s">
        <v>99</v>
      </c>
      <c r="Q137" s="147">
        <v>12</v>
      </c>
      <c r="R137" s="147" t="s">
        <v>72</v>
      </c>
      <c r="S137" s="147" t="s">
        <v>431</v>
      </c>
      <c r="T137" s="147" t="s">
        <v>74</v>
      </c>
      <c r="U137" s="148">
        <v>15000000</v>
      </c>
      <c r="V137" s="148">
        <v>15000000</v>
      </c>
      <c r="W137" s="147" t="s">
        <v>75</v>
      </c>
      <c r="X137" s="147" t="s">
        <v>67</v>
      </c>
      <c r="Y137" s="147" t="s">
        <v>147</v>
      </c>
      <c r="Z137" s="147" t="s">
        <v>148</v>
      </c>
      <c r="AA137" s="147">
        <v>6012220601</v>
      </c>
      <c r="AB137" s="160" t="s">
        <v>149</v>
      </c>
      <c r="AC137" s="14"/>
      <c r="AD137" s="14"/>
      <c r="AE137" s="14"/>
      <c r="AF137" s="14"/>
      <c r="AG137" s="14"/>
      <c r="AH137" s="14"/>
      <c r="AI137" s="14"/>
      <c r="AJ137" s="14"/>
      <c r="AK137" s="14"/>
      <c r="AL137" s="14"/>
      <c r="AM137" s="14"/>
      <c r="AN137" s="14"/>
      <c r="AO137" s="14"/>
      <c r="AP137" s="14"/>
      <c r="AQ137" s="14"/>
      <c r="AR137" s="14"/>
      <c r="AS137" s="14"/>
      <c r="AT137" s="14"/>
      <c r="AU137" s="25"/>
      <c r="AV137" s="25"/>
      <c r="AW137" s="28">
        <v>15000000</v>
      </c>
      <c r="AX137" s="25"/>
      <c r="AY137" s="25"/>
      <c r="AZ137" s="28">
        <v>15000000</v>
      </c>
      <c r="BA137" s="17"/>
      <c r="BB137" s="17"/>
      <c r="BC137" s="18">
        <f t="shared" ref="BC137:BD137" si="131">AC137+AE137+AG137+AI137+AK137+AM137+AO137+AQ137+AS137+AU137+AW137+AY137+BA137</f>
        <v>15000000</v>
      </c>
      <c r="BD137" s="18">
        <f t="shared" si="131"/>
        <v>15000000</v>
      </c>
      <c r="BE137" s="19">
        <f t="shared" si="1"/>
        <v>0</v>
      </c>
      <c r="BF137" s="20">
        <f t="shared" si="2"/>
        <v>0</v>
      </c>
      <c r="BG137" s="20">
        <f t="shared" si="3"/>
        <v>0</v>
      </c>
    </row>
    <row r="138" spans="1:59" ht="14.25" customHeight="1">
      <c r="A138" s="147" t="s">
        <v>59</v>
      </c>
      <c r="B138" s="147" t="s">
        <v>371</v>
      </c>
      <c r="C138" s="151" t="s">
        <v>372</v>
      </c>
      <c r="D138" s="151" t="s">
        <v>62</v>
      </c>
      <c r="E138" s="151">
        <v>32</v>
      </c>
      <c r="F138" s="149" t="s">
        <v>453</v>
      </c>
      <c r="G138" s="147" t="s">
        <v>389</v>
      </c>
      <c r="H138" s="147" t="s">
        <v>390</v>
      </c>
      <c r="I138" s="147" t="s">
        <v>391</v>
      </c>
      <c r="J138" s="164">
        <v>43232605</v>
      </c>
      <c r="K138" s="147" t="s">
        <v>392</v>
      </c>
      <c r="L138" s="147" t="s">
        <v>145</v>
      </c>
      <c r="M138" s="147" t="s">
        <v>454</v>
      </c>
      <c r="N138" s="179" t="s">
        <v>127</v>
      </c>
      <c r="O138" s="147" t="s">
        <v>343</v>
      </c>
      <c r="P138" s="147" t="s">
        <v>343</v>
      </c>
      <c r="Q138" s="147">
        <v>12</v>
      </c>
      <c r="R138" s="147" t="s">
        <v>72</v>
      </c>
      <c r="S138" s="147" t="s">
        <v>143</v>
      </c>
      <c r="T138" s="147" t="s">
        <v>74</v>
      </c>
      <c r="U138" s="148">
        <v>145537494</v>
      </c>
      <c r="V138" s="148">
        <v>145537494</v>
      </c>
      <c r="W138" s="147" t="s">
        <v>75</v>
      </c>
      <c r="X138" s="147" t="s">
        <v>67</v>
      </c>
      <c r="Y138" s="147" t="s">
        <v>147</v>
      </c>
      <c r="Z138" s="147" t="s">
        <v>148</v>
      </c>
      <c r="AA138" s="147">
        <v>6012220601</v>
      </c>
      <c r="AB138" s="160" t="s">
        <v>149</v>
      </c>
      <c r="AC138" s="14"/>
      <c r="AD138" s="14"/>
      <c r="AE138" s="14"/>
      <c r="AF138" s="14"/>
      <c r="AG138" s="14"/>
      <c r="AH138" s="14"/>
      <c r="AI138" s="14"/>
      <c r="AJ138" s="14"/>
      <c r="AK138" s="14"/>
      <c r="AL138" s="14"/>
      <c r="AM138" s="14">
        <v>145537494</v>
      </c>
      <c r="AN138" s="14"/>
      <c r="AO138" s="14"/>
      <c r="AP138" s="14">
        <v>145537494</v>
      </c>
      <c r="AQ138" s="14"/>
      <c r="AR138" s="14"/>
      <c r="AS138" s="14"/>
      <c r="AT138" s="14"/>
      <c r="AU138" s="25"/>
      <c r="AV138" s="25"/>
      <c r="AW138" s="25"/>
      <c r="AX138" s="25"/>
      <c r="AY138" s="25"/>
      <c r="AZ138" s="28"/>
      <c r="BA138" s="17"/>
      <c r="BB138" s="17"/>
      <c r="BC138" s="18">
        <f t="shared" ref="BC138:BD138" si="132">AC138+AE138+AG138+AI138+AK138+AM138+AO138+AQ138+AS138+AU138+AW138+AY138+BA138</f>
        <v>145537494</v>
      </c>
      <c r="BD138" s="18">
        <f t="shared" si="132"/>
        <v>145537494</v>
      </c>
      <c r="BE138" s="19">
        <f t="shared" si="1"/>
        <v>0</v>
      </c>
      <c r="BF138" s="20">
        <f t="shared" si="2"/>
        <v>0</v>
      </c>
      <c r="BG138" s="20">
        <f t="shared" si="3"/>
        <v>0</v>
      </c>
    </row>
    <row r="139" spans="1:59" ht="14.25" customHeight="1">
      <c r="A139" s="147" t="s">
        <v>59</v>
      </c>
      <c r="B139" s="147" t="s">
        <v>371</v>
      </c>
      <c r="C139" s="151" t="s">
        <v>372</v>
      </c>
      <c r="D139" s="151" t="s">
        <v>62</v>
      </c>
      <c r="E139" s="151" t="s">
        <v>114</v>
      </c>
      <c r="F139" s="149" t="s">
        <v>455</v>
      </c>
      <c r="G139" s="147" t="s">
        <v>389</v>
      </c>
      <c r="H139" s="147" t="s">
        <v>390</v>
      </c>
      <c r="I139" s="147" t="s">
        <v>413</v>
      </c>
      <c r="J139" s="164">
        <v>43232201</v>
      </c>
      <c r="K139" s="147" t="s">
        <v>392</v>
      </c>
      <c r="L139" s="147" t="s">
        <v>445</v>
      </c>
      <c r="M139" s="147" t="s">
        <v>456</v>
      </c>
      <c r="N139" s="179" t="s">
        <v>85</v>
      </c>
      <c r="O139" s="179" t="s">
        <v>86</v>
      </c>
      <c r="P139" s="147" t="s">
        <v>86</v>
      </c>
      <c r="Q139" s="147">
        <v>12</v>
      </c>
      <c r="R139" s="147" t="s">
        <v>72</v>
      </c>
      <c r="S139" s="147" t="s">
        <v>431</v>
      </c>
      <c r="T139" s="147" t="s">
        <v>74</v>
      </c>
      <c r="U139" s="148">
        <v>423254289</v>
      </c>
      <c r="V139" s="148">
        <v>423254289</v>
      </c>
      <c r="W139" s="147" t="s">
        <v>75</v>
      </c>
      <c r="X139" s="147" t="s">
        <v>67</v>
      </c>
      <c r="Y139" s="147" t="s">
        <v>147</v>
      </c>
      <c r="Z139" s="147" t="s">
        <v>148</v>
      </c>
      <c r="AA139" s="147">
        <v>6012220601</v>
      </c>
      <c r="AB139" s="160" t="s">
        <v>149</v>
      </c>
      <c r="AC139" s="14"/>
      <c r="AD139" s="14"/>
      <c r="AE139" s="14"/>
      <c r="AF139" s="14"/>
      <c r="AG139" s="14">
        <v>423254289</v>
      </c>
      <c r="AH139" s="14"/>
      <c r="AI139" s="14"/>
      <c r="AJ139" s="14"/>
      <c r="AK139" s="14"/>
      <c r="AL139" s="14">
        <v>410000000</v>
      </c>
      <c r="AM139" s="14"/>
      <c r="AN139" s="14"/>
      <c r="AO139" s="14"/>
      <c r="AP139" s="14"/>
      <c r="AQ139" s="14"/>
      <c r="AR139" s="14"/>
      <c r="AS139" s="14"/>
      <c r="AT139" s="14"/>
      <c r="AU139" s="28"/>
      <c r="AV139" s="28"/>
      <c r="AW139" s="28"/>
      <c r="AX139" s="28"/>
      <c r="AY139" s="28"/>
      <c r="AZ139" s="28">
        <v>13254289</v>
      </c>
      <c r="BA139" s="17"/>
      <c r="BB139" s="17"/>
      <c r="BC139" s="18">
        <f t="shared" ref="BC139:BD139" si="133">AC139+AE139+AG139+AI139+AK139+AM139+AO139+AQ139+AS139+AU139+AW139+AY139+BA139</f>
        <v>423254289</v>
      </c>
      <c r="BD139" s="18">
        <f t="shared" si="133"/>
        <v>423254289</v>
      </c>
      <c r="BE139" s="19">
        <f t="shared" si="1"/>
        <v>0</v>
      </c>
      <c r="BF139" s="20">
        <f t="shared" si="2"/>
        <v>0</v>
      </c>
      <c r="BG139" s="20">
        <f t="shared" si="3"/>
        <v>0</v>
      </c>
    </row>
    <row r="140" spans="1:59" ht="14.25" customHeight="1">
      <c r="A140" s="147" t="s">
        <v>59</v>
      </c>
      <c r="B140" s="147" t="s">
        <v>371</v>
      </c>
      <c r="C140" s="151" t="s">
        <v>372</v>
      </c>
      <c r="D140" s="151" t="s">
        <v>62</v>
      </c>
      <c r="E140" s="151" t="s">
        <v>114</v>
      </c>
      <c r="F140" s="149" t="s">
        <v>457</v>
      </c>
      <c r="G140" s="147" t="s">
        <v>389</v>
      </c>
      <c r="H140" s="147" t="s">
        <v>390</v>
      </c>
      <c r="I140" s="147" t="s">
        <v>391</v>
      </c>
      <c r="J140" s="164">
        <v>43232201</v>
      </c>
      <c r="K140" s="147" t="s">
        <v>392</v>
      </c>
      <c r="L140" s="147" t="s">
        <v>445</v>
      </c>
      <c r="M140" s="147" t="s">
        <v>458</v>
      </c>
      <c r="N140" s="179" t="s">
        <v>85</v>
      </c>
      <c r="O140" s="179" t="s">
        <v>86</v>
      </c>
      <c r="P140" s="147" t="s">
        <v>86</v>
      </c>
      <c r="Q140" s="147">
        <v>12</v>
      </c>
      <c r="R140" s="147" t="s">
        <v>72</v>
      </c>
      <c r="S140" s="147" t="s">
        <v>431</v>
      </c>
      <c r="T140" s="147" t="s">
        <v>74</v>
      </c>
      <c r="U140" s="148">
        <v>52939461</v>
      </c>
      <c r="V140" s="148">
        <v>52939461</v>
      </c>
      <c r="W140" s="147" t="s">
        <v>75</v>
      </c>
      <c r="X140" s="147" t="s">
        <v>67</v>
      </c>
      <c r="Y140" s="147" t="s">
        <v>147</v>
      </c>
      <c r="Z140" s="147" t="s">
        <v>148</v>
      </c>
      <c r="AA140" s="147">
        <v>6012220601</v>
      </c>
      <c r="AB140" s="160" t="s">
        <v>149</v>
      </c>
      <c r="AC140" s="14"/>
      <c r="AD140" s="14"/>
      <c r="AE140" s="14"/>
      <c r="AF140" s="14"/>
      <c r="AG140" s="14">
        <v>52939461</v>
      </c>
      <c r="AH140" s="14"/>
      <c r="AI140" s="14"/>
      <c r="AJ140" s="14"/>
      <c r="AK140" s="14"/>
      <c r="AL140" s="14"/>
      <c r="AM140" s="14"/>
      <c r="AN140" s="14"/>
      <c r="AO140" s="14"/>
      <c r="AP140" s="14"/>
      <c r="AQ140" s="14"/>
      <c r="AR140" s="14"/>
      <c r="AS140" s="14"/>
      <c r="AT140" s="14"/>
      <c r="AU140" s="28"/>
      <c r="AV140" s="28"/>
      <c r="AW140" s="28"/>
      <c r="AX140" s="28"/>
      <c r="AY140" s="28"/>
      <c r="AZ140" s="28">
        <v>52939461</v>
      </c>
      <c r="BA140" s="17"/>
      <c r="BB140" s="17"/>
      <c r="BC140" s="18">
        <f t="shared" ref="BC140:BD140" si="134">AC140+AE140+AG140+AI140+AK140+AM140+AO140+AQ140+AS140+AU140+AW140+AY140+BA140</f>
        <v>52939461</v>
      </c>
      <c r="BD140" s="18">
        <f t="shared" si="134"/>
        <v>52939461</v>
      </c>
      <c r="BE140" s="19">
        <f t="shared" si="1"/>
        <v>0</v>
      </c>
      <c r="BF140" s="20">
        <f t="shared" si="2"/>
        <v>0</v>
      </c>
      <c r="BG140" s="20">
        <f t="shared" si="3"/>
        <v>0</v>
      </c>
    </row>
    <row r="141" spans="1:59" ht="14.25" customHeight="1">
      <c r="A141" s="147" t="s">
        <v>59</v>
      </c>
      <c r="B141" s="147" t="s">
        <v>371</v>
      </c>
      <c r="C141" s="151" t="s">
        <v>372</v>
      </c>
      <c r="D141" s="151" t="s">
        <v>62</v>
      </c>
      <c r="E141" s="151">
        <v>30</v>
      </c>
      <c r="F141" s="149" t="s">
        <v>459</v>
      </c>
      <c r="G141" s="147" t="s">
        <v>389</v>
      </c>
      <c r="H141" s="147" t="s">
        <v>390</v>
      </c>
      <c r="I141" s="147" t="s">
        <v>391</v>
      </c>
      <c r="J141" s="164">
        <v>43231513</v>
      </c>
      <c r="K141" s="147" t="s">
        <v>392</v>
      </c>
      <c r="L141" s="147" t="s">
        <v>145</v>
      </c>
      <c r="M141" s="147" t="s">
        <v>460</v>
      </c>
      <c r="N141" s="179" t="s">
        <v>86</v>
      </c>
      <c r="O141" s="179" t="s">
        <v>86</v>
      </c>
      <c r="P141" s="147" t="s">
        <v>127</v>
      </c>
      <c r="Q141" s="147">
        <v>12</v>
      </c>
      <c r="R141" s="147" t="s">
        <v>72</v>
      </c>
      <c r="S141" s="147" t="s">
        <v>143</v>
      </c>
      <c r="T141" s="147" t="s">
        <v>74</v>
      </c>
      <c r="U141" s="148">
        <v>44985024</v>
      </c>
      <c r="V141" s="148">
        <v>44985024</v>
      </c>
      <c r="W141" s="147" t="s">
        <v>75</v>
      </c>
      <c r="X141" s="147" t="s">
        <v>67</v>
      </c>
      <c r="Y141" s="147" t="s">
        <v>147</v>
      </c>
      <c r="Z141" s="147" t="s">
        <v>148</v>
      </c>
      <c r="AA141" s="147">
        <v>6012220601</v>
      </c>
      <c r="AB141" s="160" t="s">
        <v>149</v>
      </c>
      <c r="AC141" s="14"/>
      <c r="AD141" s="14"/>
      <c r="AE141" s="14"/>
      <c r="AF141" s="14"/>
      <c r="AG141" s="14"/>
      <c r="AH141" s="14"/>
      <c r="AI141" s="14"/>
      <c r="AJ141" s="14"/>
      <c r="AK141" s="14">
        <v>44985024</v>
      </c>
      <c r="AL141" s="14"/>
      <c r="AM141" s="14"/>
      <c r="AN141" s="14">
        <v>41414784</v>
      </c>
      <c r="AO141" s="14"/>
      <c r="AP141" s="14"/>
      <c r="AQ141" s="14"/>
      <c r="AR141" s="14">
        <v>3570240</v>
      </c>
      <c r="AS141" s="14"/>
      <c r="AT141" s="14"/>
      <c r="AU141" s="28"/>
      <c r="AV141" s="28"/>
      <c r="AW141" s="28"/>
      <c r="AX141" s="28"/>
      <c r="AY141" s="28"/>
      <c r="AZ141" s="28"/>
      <c r="BA141" s="17"/>
      <c r="BB141" s="17"/>
      <c r="BC141" s="18">
        <f t="shared" ref="BC141:BD141" si="135">AC141+AE141+AG141+AI141+AK141+AM141+AO141+AQ141+AS141+AU141+AW141+AY141+BA141</f>
        <v>44985024</v>
      </c>
      <c r="BD141" s="18">
        <f t="shared" si="135"/>
        <v>44985024</v>
      </c>
      <c r="BE141" s="19">
        <f t="shared" si="1"/>
        <v>0</v>
      </c>
      <c r="BF141" s="20">
        <f t="shared" si="2"/>
        <v>0</v>
      </c>
      <c r="BG141" s="20">
        <f t="shared" si="3"/>
        <v>0</v>
      </c>
    </row>
    <row r="142" spans="1:59" ht="14.25" customHeight="1">
      <c r="A142" s="147" t="s">
        <v>59</v>
      </c>
      <c r="B142" s="147" t="s">
        <v>371</v>
      </c>
      <c r="C142" s="151" t="s">
        <v>372</v>
      </c>
      <c r="D142" s="151" t="s">
        <v>62</v>
      </c>
      <c r="E142" s="151">
        <v>42</v>
      </c>
      <c r="F142" s="149" t="s">
        <v>461</v>
      </c>
      <c r="G142" s="147" t="s">
        <v>389</v>
      </c>
      <c r="H142" s="147" t="s">
        <v>390</v>
      </c>
      <c r="I142" s="147" t="s">
        <v>391</v>
      </c>
      <c r="J142" s="164">
        <v>80111620</v>
      </c>
      <c r="K142" s="147" t="s">
        <v>392</v>
      </c>
      <c r="L142" s="147" t="s">
        <v>83</v>
      </c>
      <c r="M142" s="147" t="s">
        <v>462</v>
      </c>
      <c r="N142" s="147" t="s">
        <v>71</v>
      </c>
      <c r="O142" s="147" t="s">
        <v>71</v>
      </c>
      <c r="P142" s="147" t="s">
        <v>71</v>
      </c>
      <c r="Q142" s="147">
        <v>4</v>
      </c>
      <c r="R142" s="147" t="s">
        <v>72</v>
      </c>
      <c r="S142" s="147" t="s">
        <v>431</v>
      </c>
      <c r="T142" s="147" t="s">
        <v>74</v>
      </c>
      <c r="U142" s="148">
        <v>28000000</v>
      </c>
      <c r="V142" s="148">
        <v>28000000</v>
      </c>
      <c r="W142" s="147" t="s">
        <v>75</v>
      </c>
      <c r="X142" s="147" t="s">
        <v>67</v>
      </c>
      <c r="Y142" s="147" t="s">
        <v>147</v>
      </c>
      <c r="Z142" s="147" t="s">
        <v>148</v>
      </c>
      <c r="AA142" s="147">
        <v>6012220601</v>
      </c>
      <c r="AB142" s="160" t="s">
        <v>149</v>
      </c>
      <c r="AC142" s="14"/>
      <c r="AD142" s="14"/>
      <c r="AE142" s="14"/>
      <c r="AF142" s="14"/>
      <c r="AG142" s="14"/>
      <c r="AH142" s="14"/>
      <c r="AI142" s="14"/>
      <c r="AJ142" s="14"/>
      <c r="AK142" s="14"/>
      <c r="AL142" s="14"/>
      <c r="AM142" s="14"/>
      <c r="AN142" s="14"/>
      <c r="AO142" s="14"/>
      <c r="AP142" s="14"/>
      <c r="AQ142" s="14"/>
      <c r="AR142" s="14"/>
      <c r="AS142" s="14">
        <v>25600000</v>
      </c>
      <c r="AT142" s="14"/>
      <c r="AU142" s="25"/>
      <c r="AV142" s="25">
        <v>4000000</v>
      </c>
      <c r="AW142" s="28"/>
      <c r="AX142" s="28">
        <v>8000000</v>
      </c>
      <c r="AY142" s="25"/>
      <c r="AZ142" s="28">
        <v>13600000</v>
      </c>
      <c r="BA142" s="33">
        <v>2400000</v>
      </c>
      <c r="BB142" s="33">
        <v>2400000</v>
      </c>
      <c r="BC142" s="18">
        <f t="shared" ref="BC142:BD142" si="136">AC142+AE142+AG142+AI142+AK142+AM142+AO142+AQ142+AS142+AU142+AW142+AY142+BA142</f>
        <v>28000000</v>
      </c>
      <c r="BD142" s="18">
        <f t="shared" si="136"/>
        <v>28000000</v>
      </c>
      <c r="BE142" s="19">
        <f t="shared" si="1"/>
        <v>0</v>
      </c>
      <c r="BF142" s="20">
        <f t="shared" si="2"/>
        <v>0</v>
      </c>
      <c r="BG142" s="20">
        <f t="shared" si="3"/>
        <v>0</v>
      </c>
    </row>
    <row r="143" spans="1:59" ht="14.25" customHeight="1">
      <c r="A143" s="147" t="s">
        <v>59</v>
      </c>
      <c r="B143" s="147" t="s">
        <v>371</v>
      </c>
      <c r="C143" s="151" t="s">
        <v>372</v>
      </c>
      <c r="D143" s="151" t="s">
        <v>62</v>
      </c>
      <c r="E143" s="151">
        <v>36</v>
      </c>
      <c r="F143" s="149" t="s">
        <v>463</v>
      </c>
      <c r="G143" s="147" t="s">
        <v>374</v>
      </c>
      <c r="H143" s="147" t="s">
        <v>375</v>
      </c>
      <c r="I143" s="147" t="s">
        <v>380</v>
      </c>
      <c r="J143" s="164">
        <v>80111620</v>
      </c>
      <c r="K143" s="147" t="s">
        <v>377</v>
      </c>
      <c r="L143" s="147" t="s">
        <v>83</v>
      </c>
      <c r="M143" s="147" t="s">
        <v>464</v>
      </c>
      <c r="N143" s="179" t="s">
        <v>142</v>
      </c>
      <c r="O143" s="179" t="s">
        <v>142</v>
      </c>
      <c r="P143" s="147" t="s">
        <v>142</v>
      </c>
      <c r="Q143" s="147">
        <v>3</v>
      </c>
      <c r="R143" s="147" t="s">
        <v>72</v>
      </c>
      <c r="S143" s="147" t="s">
        <v>431</v>
      </c>
      <c r="T143" s="147" t="s">
        <v>74</v>
      </c>
      <c r="U143" s="148">
        <v>8764000</v>
      </c>
      <c r="V143" s="148">
        <v>8764000</v>
      </c>
      <c r="W143" s="147" t="s">
        <v>75</v>
      </c>
      <c r="X143" s="147" t="s">
        <v>67</v>
      </c>
      <c r="Y143" s="147" t="s">
        <v>147</v>
      </c>
      <c r="Z143" s="147" t="s">
        <v>148</v>
      </c>
      <c r="AA143" s="147">
        <v>6012220601</v>
      </c>
      <c r="AB143" s="160" t="s">
        <v>149</v>
      </c>
      <c r="AC143" s="14"/>
      <c r="AD143" s="14"/>
      <c r="AE143" s="14"/>
      <c r="AF143" s="14"/>
      <c r="AG143" s="14"/>
      <c r="AH143" s="14"/>
      <c r="AI143" s="14"/>
      <c r="AJ143" s="14"/>
      <c r="AK143" s="14"/>
      <c r="AL143" s="14"/>
      <c r="AM143" s="14"/>
      <c r="AN143" s="14"/>
      <c r="AO143" s="14"/>
      <c r="AP143" s="14"/>
      <c r="AQ143" s="14"/>
      <c r="AR143" s="14"/>
      <c r="AS143" s="14"/>
      <c r="AT143" s="14"/>
      <c r="AU143" s="28">
        <v>8764000</v>
      </c>
      <c r="AV143" s="25"/>
      <c r="AW143" s="25"/>
      <c r="AX143" s="25">
        <v>8764000</v>
      </c>
      <c r="AY143" s="25"/>
      <c r="AZ143" s="28"/>
      <c r="BA143" s="17"/>
      <c r="BB143" s="17"/>
      <c r="BC143" s="18">
        <f t="shared" ref="BC143:BD143" si="137">AC143+AE143+AG143+AI143+AK143+AM143+AO143+AQ143+AS143+AU143+AW143+AY143+BA143</f>
        <v>8764000</v>
      </c>
      <c r="BD143" s="18">
        <f t="shared" si="137"/>
        <v>8764000</v>
      </c>
      <c r="BE143" s="19">
        <f t="shared" si="1"/>
        <v>0</v>
      </c>
      <c r="BF143" s="20">
        <f t="shared" si="2"/>
        <v>0</v>
      </c>
      <c r="BG143" s="20">
        <f t="shared" si="3"/>
        <v>0</v>
      </c>
    </row>
    <row r="144" spans="1:59" ht="14.25" customHeight="1">
      <c r="A144" s="147" t="s">
        <v>59</v>
      </c>
      <c r="B144" s="147" t="s">
        <v>371</v>
      </c>
      <c r="C144" s="151" t="s">
        <v>372</v>
      </c>
      <c r="D144" s="151" t="s">
        <v>62</v>
      </c>
      <c r="E144" s="151">
        <v>36</v>
      </c>
      <c r="F144" s="149" t="s">
        <v>465</v>
      </c>
      <c r="G144" s="147" t="s">
        <v>389</v>
      </c>
      <c r="H144" s="147" t="s">
        <v>390</v>
      </c>
      <c r="I144" s="147" t="s">
        <v>391</v>
      </c>
      <c r="J144" s="164" t="s">
        <v>466</v>
      </c>
      <c r="K144" s="147" t="s">
        <v>392</v>
      </c>
      <c r="L144" s="147" t="s">
        <v>145</v>
      </c>
      <c r="M144" s="147" t="s">
        <v>467</v>
      </c>
      <c r="N144" s="179" t="s">
        <v>142</v>
      </c>
      <c r="O144" s="179" t="s">
        <v>142</v>
      </c>
      <c r="P144" s="179" t="s">
        <v>71</v>
      </c>
      <c r="Q144" s="147">
        <v>3</v>
      </c>
      <c r="R144" s="147" t="s">
        <v>72</v>
      </c>
      <c r="S144" s="147" t="s">
        <v>431</v>
      </c>
      <c r="T144" s="147" t="s">
        <v>74</v>
      </c>
      <c r="U144" s="148">
        <v>162075042</v>
      </c>
      <c r="V144" s="148">
        <v>162075042</v>
      </c>
      <c r="W144" s="147" t="s">
        <v>75</v>
      </c>
      <c r="X144" s="147" t="s">
        <v>67</v>
      </c>
      <c r="Y144" s="147" t="s">
        <v>147</v>
      </c>
      <c r="Z144" s="147" t="s">
        <v>148</v>
      </c>
      <c r="AA144" s="147">
        <v>6012220601</v>
      </c>
      <c r="AB144" s="160" t="s">
        <v>149</v>
      </c>
      <c r="AC144" s="14"/>
      <c r="AD144" s="14"/>
      <c r="AE144" s="14"/>
      <c r="AF144" s="14"/>
      <c r="AG144" s="14"/>
      <c r="AH144" s="14"/>
      <c r="AI144" s="14"/>
      <c r="AJ144" s="14"/>
      <c r="AK144" s="14"/>
      <c r="AL144" s="14"/>
      <c r="AM144" s="14"/>
      <c r="AN144" s="14"/>
      <c r="AO144" s="14"/>
      <c r="AP144" s="14"/>
      <c r="AQ144" s="14"/>
      <c r="AR144" s="14"/>
      <c r="AS144" s="14"/>
      <c r="AT144" s="14"/>
      <c r="AU144" s="28">
        <v>162075042</v>
      </c>
      <c r="AV144" s="25"/>
      <c r="AW144" s="25"/>
      <c r="AX144" s="25"/>
      <c r="AY144" s="25"/>
      <c r="AZ144" s="28">
        <v>162075042</v>
      </c>
      <c r="BA144" s="17"/>
      <c r="BB144" s="17"/>
      <c r="BC144" s="18">
        <f t="shared" ref="BC144:BD144" si="138">AC144+AE144+AG144+AI144+AK144+AM144+AO144+AQ144+AS144+AU144+AW144+AY144+BA144</f>
        <v>162075042</v>
      </c>
      <c r="BD144" s="18">
        <f t="shared" si="138"/>
        <v>162075042</v>
      </c>
      <c r="BE144" s="19">
        <f t="shared" si="1"/>
        <v>0</v>
      </c>
      <c r="BF144" s="20">
        <f t="shared" si="2"/>
        <v>0</v>
      </c>
      <c r="BG144" s="20">
        <f t="shared" si="3"/>
        <v>0</v>
      </c>
    </row>
    <row r="145" spans="1:59" ht="14.25" customHeight="1">
      <c r="A145" s="147" t="s">
        <v>59</v>
      </c>
      <c r="B145" s="147" t="s">
        <v>371</v>
      </c>
      <c r="C145" s="151" t="s">
        <v>372</v>
      </c>
      <c r="D145" s="151" t="s">
        <v>62</v>
      </c>
      <c r="E145" s="151" t="s">
        <v>114</v>
      </c>
      <c r="F145" s="149" t="s">
        <v>468</v>
      </c>
      <c r="G145" s="147" t="s">
        <v>389</v>
      </c>
      <c r="H145" s="147" t="s">
        <v>390</v>
      </c>
      <c r="I145" s="147" t="s">
        <v>413</v>
      </c>
      <c r="J145" s="164" t="s">
        <v>466</v>
      </c>
      <c r="K145" s="147" t="s">
        <v>392</v>
      </c>
      <c r="L145" s="147" t="s">
        <v>145</v>
      </c>
      <c r="M145" s="147" t="s">
        <v>469</v>
      </c>
      <c r="N145" s="179" t="s">
        <v>142</v>
      </c>
      <c r="O145" s="179" t="s">
        <v>142</v>
      </c>
      <c r="P145" s="179" t="s">
        <v>71</v>
      </c>
      <c r="Q145" s="147">
        <v>3</v>
      </c>
      <c r="R145" s="147" t="s">
        <v>72</v>
      </c>
      <c r="S145" s="147" t="s">
        <v>431</v>
      </c>
      <c r="T145" s="147" t="s">
        <v>74</v>
      </c>
      <c r="U145" s="148">
        <v>4620000</v>
      </c>
      <c r="V145" s="148">
        <v>4620000</v>
      </c>
      <c r="W145" s="147" t="s">
        <v>75</v>
      </c>
      <c r="X145" s="147" t="s">
        <v>67</v>
      </c>
      <c r="Y145" s="147" t="s">
        <v>147</v>
      </c>
      <c r="Z145" s="147" t="s">
        <v>148</v>
      </c>
      <c r="AA145" s="147">
        <v>6012220601</v>
      </c>
      <c r="AB145" s="160" t="s">
        <v>149</v>
      </c>
      <c r="AC145" s="14"/>
      <c r="AD145" s="14"/>
      <c r="AE145" s="14"/>
      <c r="AF145" s="14"/>
      <c r="AG145" s="14"/>
      <c r="AH145" s="14"/>
      <c r="AI145" s="14"/>
      <c r="AJ145" s="14"/>
      <c r="AK145" s="14"/>
      <c r="AL145" s="14"/>
      <c r="AM145" s="14"/>
      <c r="AN145" s="14"/>
      <c r="AO145" s="14"/>
      <c r="AP145" s="14"/>
      <c r="AQ145" s="14"/>
      <c r="AR145" s="14"/>
      <c r="AS145" s="14"/>
      <c r="AT145" s="14"/>
      <c r="AU145" s="28">
        <v>4620000</v>
      </c>
      <c r="AV145" s="25"/>
      <c r="AW145" s="25"/>
      <c r="AX145" s="25"/>
      <c r="AY145" s="25"/>
      <c r="AZ145" s="28">
        <v>4620000</v>
      </c>
      <c r="BA145" s="17"/>
      <c r="BB145" s="17"/>
      <c r="BC145" s="18">
        <f t="shared" ref="BC145:BD145" si="139">AC145+AE145+AG145+AI145+AK145+AM145+AO145+AQ145+AS145+AU145+AW145+AY145+BA145</f>
        <v>4620000</v>
      </c>
      <c r="BD145" s="18">
        <f t="shared" si="139"/>
        <v>4620000</v>
      </c>
      <c r="BE145" s="19">
        <f t="shared" si="1"/>
        <v>0</v>
      </c>
      <c r="BF145" s="20">
        <f t="shared" si="2"/>
        <v>0</v>
      </c>
      <c r="BG145" s="20">
        <f t="shared" si="3"/>
        <v>0</v>
      </c>
    </row>
    <row r="146" spans="1:59" ht="14.25" customHeight="1">
      <c r="A146" s="147" t="s">
        <v>59</v>
      </c>
      <c r="B146" s="147" t="s">
        <v>371</v>
      </c>
      <c r="C146" s="151" t="s">
        <v>372</v>
      </c>
      <c r="D146" s="151" t="s">
        <v>62</v>
      </c>
      <c r="E146" s="151">
        <v>30</v>
      </c>
      <c r="F146" s="149" t="s">
        <v>470</v>
      </c>
      <c r="G146" s="147" t="s">
        <v>389</v>
      </c>
      <c r="H146" s="147" t="s">
        <v>390</v>
      </c>
      <c r="I146" s="147" t="s">
        <v>391</v>
      </c>
      <c r="J146" s="164" t="s">
        <v>471</v>
      </c>
      <c r="K146" s="147" t="s">
        <v>392</v>
      </c>
      <c r="L146" s="147" t="s">
        <v>224</v>
      </c>
      <c r="M146" s="147" t="s">
        <v>472</v>
      </c>
      <c r="N146" s="147" t="s">
        <v>86</v>
      </c>
      <c r="O146" s="147" t="s">
        <v>86</v>
      </c>
      <c r="P146" s="147" t="s">
        <v>99</v>
      </c>
      <c r="Q146" s="147">
        <v>13</v>
      </c>
      <c r="R146" s="147" t="s">
        <v>72</v>
      </c>
      <c r="S146" s="147" t="s">
        <v>156</v>
      </c>
      <c r="T146" s="147" t="s">
        <v>74</v>
      </c>
      <c r="U146" s="148">
        <v>199832164</v>
      </c>
      <c r="V146" s="148">
        <v>199832164</v>
      </c>
      <c r="W146" s="147" t="s">
        <v>75</v>
      </c>
      <c r="X146" s="147" t="s">
        <v>67</v>
      </c>
      <c r="Y146" s="147" t="s">
        <v>147</v>
      </c>
      <c r="Z146" s="147" t="s">
        <v>148</v>
      </c>
      <c r="AA146" s="147">
        <v>6012220601</v>
      </c>
      <c r="AB146" s="160" t="s">
        <v>149</v>
      </c>
      <c r="AC146" s="14"/>
      <c r="AD146" s="14"/>
      <c r="AE146" s="14"/>
      <c r="AF146" s="14"/>
      <c r="AG146" s="14"/>
      <c r="AH146" s="14"/>
      <c r="AI146" s="14">
        <v>199832164</v>
      </c>
      <c r="AJ146" s="14"/>
      <c r="AK146" s="14"/>
      <c r="AL146" s="14"/>
      <c r="AM146" s="14"/>
      <c r="AN146" s="14"/>
      <c r="AO146" s="14"/>
      <c r="AP146" s="14"/>
      <c r="AQ146" s="14"/>
      <c r="AR146" s="14"/>
      <c r="AS146" s="14"/>
      <c r="AT146" s="14"/>
      <c r="AU146" s="28"/>
      <c r="AV146" s="28"/>
      <c r="AW146" s="28"/>
      <c r="AX146" s="28"/>
      <c r="AY146" s="28"/>
      <c r="AZ146" s="28">
        <v>199832164</v>
      </c>
      <c r="BA146" s="17"/>
      <c r="BB146" s="17"/>
      <c r="BC146" s="18">
        <f t="shared" ref="BC146:BD146" si="140">AC146+AE146+AG146+AI146+AK146+AM146+AO146+AQ146+AS146+AU146+AW146+AY146+BA146</f>
        <v>199832164</v>
      </c>
      <c r="BD146" s="18">
        <f t="shared" si="140"/>
        <v>199832164</v>
      </c>
      <c r="BE146" s="19">
        <f t="shared" si="1"/>
        <v>0</v>
      </c>
      <c r="BF146" s="20">
        <f t="shared" si="2"/>
        <v>0</v>
      </c>
      <c r="BG146" s="20">
        <f t="shared" si="3"/>
        <v>0</v>
      </c>
    </row>
    <row r="147" spans="1:59" ht="14.25" customHeight="1">
      <c r="A147" s="147" t="s">
        <v>59</v>
      </c>
      <c r="B147" s="147" t="s">
        <v>371</v>
      </c>
      <c r="C147" s="151" t="s">
        <v>372</v>
      </c>
      <c r="D147" s="151" t="s">
        <v>62</v>
      </c>
      <c r="E147" s="151">
        <v>30</v>
      </c>
      <c r="F147" s="149" t="s">
        <v>473</v>
      </c>
      <c r="G147" s="147" t="s">
        <v>389</v>
      </c>
      <c r="H147" s="147" t="s">
        <v>390</v>
      </c>
      <c r="I147" s="147" t="s">
        <v>391</v>
      </c>
      <c r="J147" s="164" t="s">
        <v>474</v>
      </c>
      <c r="K147" s="147" t="s">
        <v>392</v>
      </c>
      <c r="L147" s="147" t="s">
        <v>445</v>
      </c>
      <c r="M147" s="147" t="s">
        <v>475</v>
      </c>
      <c r="N147" s="147" t="s">
        <v>86</v>
      </c>
      <c r="O147" s="147" t="s">
        <v>86</v>
      </c>
      <c r="P147" s="147" t="s">
        <v>127</v>
      </c>
      <c r="Q147" s="147">
        <v>12</v>
      </c>
      <c r="R147" s="147" t="s">
        <v>72</v>
      </c>
      <c r="S147" s="147" t="s">
        <v>143</v>
      </c>
      <c r="T147" s="147" t="s">
        <v>74</v>
      </c>
      <c r="U147" s="148">
        <v>1127972</v>
      </c>
      <c r="V147" s="148">
        <v>1127972</v>
      </c>
      <c r="W147" s="147" t="s">
        <v>75</v>
      </c>
      <c r="X147" s="147" t="s">
        <v>67</v>
      </c>
      <c r="Y147" s="147" t="s">
        <v>147</v>
      </c>
      <c r="Z147" s="147" t="s">
        <v>148</v>
      </c>
      <c r="AA147" s="147">
        <v>6012220601</v>
      </c>
      <c r="AB147" s="160" t="s">
        <v>149</v>
      </c>
      <c r="AC147" s="14"/>
      <c r="AD147" s="14"/>
      <c r="AE147" s="14"/>
      <c r="AF147" s="14"/>
      <c r="AG147" s="14"/>
      <c r="AH147" s="14"/>
      <c r="AI147" s="14"/>
      <c r="AJ147" s="14"/>
      <c r="AK147" s="14">
        <v>1127972</v>
      </c>
      <c r="AL147" s="14">
        <v>1127972</v>
      </c>
      <c r="AM147" s="14"/>
      <c r="AN147" s="14"/>
      <c r="AO147" s="14"/>
      <c r="AP147" s="14"/>
      <c r="AQ147" s="14"/>
      <c r="AR147" s="14"/>
      <c r="AS147" s="14"/>
      <c r="AT147" s="14"/>
      <c r="AU147" s="28"/>
      <c r="AV147" s="28"/>
      <c r="AW147" s="28"/>
      <c r="AX147" s="28"/>
      <c r="AY147" s="28"/>
      <c r="AZ147" s="28"/>
      <c r="BA147" s="17"/>
      <c r="BB147" s="17"/>
      <c r="BC147" s="18">
        <f t="shared" ref="BC147:BD147" si="141">AC147+AE147+AG147+AI147+AK147+AM147+AO147+AQ147+AS147+AU147+AW147+AY147+BA147</f>
        <v>1127972</v>
      </c>
      <c r="BD147" s="18">
        <f t="shared" si="141"/>
        <v>1127972</v>
      </c>
      <c r="BE147" s="19">
        <f t="shared" si="1"/>
        <v>0</v>
      </c>
      <c r="BF147" s="20">
        <f t="shared" si="2"/>
        <v>0</v>
      </c>
      <c r="BG147" s="20">
        <f t="shared" si="3"/>
        <v>0</v>
      </c>
    </row>
    <row r="148" spans="1:59" ht="14.25" customHeight="1">
      <c r="A148" s="147" t="s">
        <v>59</v>
      </c>
      <c r="B148" s="147" t="s">
        <v>371</v>
      </c>
      <c r="C148" s="151" t="s">
        <v>372</v>
      </c>
      <c r="D148" s="151" t="s">
        <v>62</v>
      </c>
      <c r="E148" s="151">
        <v>15</v>
      </c>
      <c r="F148" s="149" t="s">
        <v>476</v>
      </c>
      <c r="G148" s="147" t="s">
        <v>403</v>
      </c>
      <c r="H148" s="147" t="s">
        <v>404</v>
      </c>
      <c r="I148" s="147" t="s">
        <v>405</v>
      </c>
      <c r="J148" s="164">
        <v>80111620</v>
      </c>
      <c r="K148" s="147" t="s">
        <v>406</v>
      </c>
      <c r="L148" s="147" t="s">
        <v>83</v>
      </c>
      <c r="M148" s="147" t="s">
        <v>477</v>
      </c>
      <c r="N148" s="147" t="s">
        <v>86</v>
      </c>
      <c r="O148" s="147" t="s">
        <v>86</v>
      </c>
      <c r="P148" s="147" t="s">
        <v>99</v>
      </c>
      <c r="Q148" s="147">
        <v>2</v>
      </c>
      <c r="R148" s="147" t="s">
        <v>72</v>
      </c>
      <c r="S148" s="147" t="s">
        <v>478</v>
      </c>
      <c r="T148" s="147" t="s">
        <v>74</v>
      </c>
      <c r="U148" s="148">
        <v>1292550</v>
      </c>
      <c r="V148" s="148">
        <v>1292550</v>
      </c>
      <c r="W148" s="147" t="s">
        <v>75</v>
      </c>
      <c r="X148" s="147" t="s">
        <v>67</v>
      </c>
      <c r="Y148" s="147" t="s">
        <v>147</v>
      </c>
      <c r="Z148" s="147" t="s">
        <v>148</v>
      </c>
      <c r="AA148" s="147">
        <v>6012220601</v>
      </c>
      <c r="AB148" s="160" t="s">
        <v>149</v>
      </c>
      <c r="AC148" s="14"/>
      <c r="AD148" s="14"/>
      <c r="AE148" s="14"/>
      <c r="AF148" s="14"/>
      <c r="AG148" s="14"/>
      <c r="AH148" s="14"/>
      <c r="AI148" s="14"/>
      <c r="AJ148" s="14"/>
      <c r="AK148" s="14">
        <v>1292550</v>
      </c>
      <c r="AL148" s="14"/>
      <c r="AM148" s="14"/>
      <c r="AN148" s="14"/>
      <c r="AO148" s="14"/>
      <c r="AP148" s="14"/>
      <c r="AQ148" s="14"/>
      <c r="AR148" s="14">
        <v>1292550</v>
      </c>
      <c r="AS148" s="14"/>
      <c r="AT148" s="14"/>
      <c r="AU148" s="28"/>
      <c r="AV148" s="28"/>
      <c r="AW148" s="28"/>
      <c r="AX148" s="28"/>
      <c r="AY148" s="28"/>
      <c r="AZ148" s="28"/>
      <c r="BA148" s="17"/>
      <c r="BB148" s="17"/>
      <c r="BC148" s="18">
        <f t="shared" ref="BC148:BD148" si="142">AC148+AE148+AG148+AI148+AK148+AM148+AO148+AQ148+AS148+AU148+AW148+AY148+BA148</f>
        <v>1292550</v>
      </c>
      <c r="BD148" s="18">
        <f t="shared" si="142"/>
        <v>1292550</v>
      </c>
      <c r="BE148" s="19">
        <f t="shared" si="1"/>
        <v>0</v>
      </c>
      <c r="BF148" s="20">
        <f t="shared" si="2"/>
        <v>0</v>
      </c>
      <c r="BG148" s="20">
        <f t="shared" si="3"/>
        <v>0</v>
      </c>
    </row>
    <row r="149" spans="1:59" ht="14.25" customHeight="1">
      <c r="A149" s="147" t="s">
        <v>59</v>
      </c>
      <c r="B149" s="147" t="s">
        <v>371</v>
      </c>
      <c r="C149" s="151" t="s">
        <v>372</v>
      </c>
      <c r="D149" s="151" t="s">
        <v>62</v>
      </c>
      <c r="E149" s="151">
        <v>9</v>
      </c>
      <c r="F149" s="149" t="s">
        <v>479</v>
      </c>
      <c r="G149" s="147" t="s">
        <v>389</v>
      </c>
      <c r="H149" s="147" t="s">
        <v>390</v>
      </c>
      <c r="I149" s="147" t="s">
        <v>391</v>
      </c>
      <c r="J149" s="164">
        <v>43222501</v>
      </c>
      <c r="K149" s="147" t="s">
        <v>392</v>
      </c>
      <c r="L149" s="147" t="s">
        <v>145</v>
      </c>
      <c r="M149" s="147" t="s">
        <v>480</v>
      </c>
      <c r="N149" s="147" t="s">
        <v>85</v>
      </c>
      <c r="O149" s="147" t="s">
        <v>85</v>
      </c>
      <c r="P149" s="147" t="s">
        <v>86</v>
      </c>
      <c r="Q149" s="147">
        <v>13</v>
      </c>
      <c r="R149" s="147" t="s">
        <v>72</v>
      </c>
      <c r="S149" s="147" t="s">
        <v>431</v>
      </c>
      <c r="T149" s="147" t="s">
        <v>74</v>
      </c>
      <c r="U149" s="148">
        <v>71490206</v>
      </c>
      <c r="V149" s="148">
        <v>71490206</v>
      </c>
      <c r="W149" s="147" t="s">
        <v>75</v>
      </c>
      <c r="X149" s="147" t="s">
        <v>67</v>
      </c>
      <c r="Y149" s="147" t="s">
        <v>147</v>
      </c>
      <c r="Z149" s="147" t="s">
        <v>148</v>
      </c>
      <c r="AA149" s="147">
        <v>6012220601</v>
      </c>
      <c r="AB149" s="160" t="s">
        <v>149</v>
      </c>
      <c r="AC149" s="14"/>
      <c r="AD149" s="14"/>
      <c r="AE149" s="14"/>
      <c r="AF149" s="14"/>
      <c r="AG149" s="14">
        <v>71490206</v>
      </c>
      <c r="AH149" s="14"/>
      <c r="AI149" s="14"/>
      <c r="AJ149" s="14"/>
      <c r="AK149" s="14"/>
      <c r="AL149" s="14"/>
      <c r="AM149" s="14"/>
      <c r="AN149" s="14"/>
      <c r="AO149" s="14"/>
      <c r="AP149" s="14"/>
      <c r="AQ149" s="14"/>
      <c r="AR149" s="14">
        <v>71490156.359999999</v>
      </c>
      <c r="AS149" s="14"/>
      <c r="AT149" s="14"/>
      <c r="AU149" s="28"/>
      <c r="AV149" s="28"/>
      <c r="AW149" s="28"/>
      <c r="AX149" s="28"/>
      <c r="AY149" s="28"/>
      <c r="AZ149" s="28">
        <v>49.64</v>
      </c>
      <c r="BA149" s="17"/>
      <c r="BB149" s="17"/>
      <c r="BC149" s="18">
        <f t="shared" ref="BC149:BD149" si="143">AC149+AE149+AG149+AI149+AK149+AM149+AO149+AQ149+AS149+AU149+AW149+AY149+BA149</f>
        <v>71490206</v>
      </c>
      <c r="BD149" s="18">
        <f t="shared" si="143"/>
        <v>71490206</v>
      </c>
      <c r="BE149" s="19">
        <f t="shared" si="1"/>
        <v>0</v>
      </c>
      <c r="BF149" s="20">
        <f t="shared" si="2"/>
        <v>0</v>
      </c>
      <c r="BG149" s="20">
        <f t="shared" si="3"/>
        <v>0</v>
      </c>
    </row>
    <row r="150" spans="1:59" ht="14.25" customHeight="1">
      <c r="A150" s="147" t="s">
        <v>59</v>
      </c>
      <c r="B150" s="147" t="s">
        <v>371</v>
      </c>
      <c r="C150" s="151" t="s">
        <v>372</v>
      </c>
      <c r="D150" s="151" t="s">
        <v>62</v>
      </c>
      <c r="E150" s="151">
        <v>30</v>
      </c>
      <c r="F150" s="149" t="s">
        <v>481</v>
      </c>
      <c r="G150" s="147" t="s">
        <v>403</v>
      </c>
      <c r="H150" s="147" t="s">
        <v>404</v>
      </c>
      <c r="I150" s="147" t="s">
        <v>405</v>
      </c>
      <c r="J150" s="164">
        <v>43222501</v>
      </c>
      <c r="K150" s="147" t="s">
        <v>406</v>
      </c>
      <c r="L150" s="147" t="s">
        <v>145</v>
      </c>
      <c r="M150" s="147" t="s">
        <v>482</v>
      </c>
      <c r="N150" s="147" t="s">
        <v>85</v>
      </c>
      <c r="O150" s="147" t="s">
        <v>85</v>
      </c>
      <c r="P150" s="147" t="s">
        <v>86</v>
      </c>
      <c r="Q150" s="147">
        <v>13</v>
      </c>
      <c r="R150" s="147" t="s">
        <v>72</v>
      </c>
      <c r="S150" s="147" t="s">
        <v>431</v>
      </c>
      <c r="T150" s="147" t="s">
        <v>74</v>
      </c>
      <c r="U150" s="148">
        <v>128124266</v>
      </c>
      <c r="V150" s="148">
        <v>128124266</v>
      </c>
      <c r="W150" s="147" t="s">
        <v>75</v>
      </c>
      <c r="X150" s="147" t="s">
        <v>67</v>
      </c>
      <c r="Y150" s="147" t="s">
        <v>147</v>
      </c>
      <c r="Z150" s="147" t="s">
        <v>148</v>
      </c>
      <c r="AA150" s="147">
        <v>6012220601</v>
      </c>
      <c r="AB150" s="160" t="s">
        <v>149</v>
      </c>
      <c r="AC150" s="14"/>
      <c r="AD150" s="14"/>
      <c r="AE150" s="14"/>
      <c r="AF150" s="14"/>
      <c r="AG150" s="14">
        <v>128124266</v>
      </c>
      <c r="AH150" s="14"/>
      <c r="AI150" s="14"/>
      <c r="AJ150" s="14"/>
      <c r="AK150" s="14"/>
      <c r="AL150" s="14"/>
      <c r="AM150" s="14"/>
      <c r="AN150" s="14"/>
      <c r="AO150" s="14"/>
      <c r="AP150" s="14"/>
      <c r="AQ150" s="14"/>
      <c r="AR150" s="14">
        <v>128124266</v>
      </c>
      <c r="AS150" s="14"/>
      <c r="AT150" s="14"/>
      <c r="AU150" s="28"/>
      <c r="AV150" s="28"/>
      <c r="AW150" s="28"/>
      <c r="AX150" s="28"/>
      <c r="AY150" s="28"/>
      <c r="AZ150" s="28"/>
      <c r="BA150" s="17"/>
      <c r="BB150" s="17"/>
      <c r="BC150" s="18">
        <f t="shared" ref="BC150:BD150" si="144">AC150+AE150+AG150+AI150+AK150+AM150+AO150+AQ150+AS150+AU150+AW150+AY150+BA150</f>
        <v>128124266</v>
      </c>
      <c r="BD150" s="18">
        <f t="shared" si="144"/>
        <v>128124266</v>
      </c>
      <c r="BE150" s="19">
        <f t="shared" si="1"/>
        <v>0</v>
      </c>
      <c r="BF150" s="20">
        <f t="shared" si="2"/>
        <v>0</v>
      </c>
      <c r="BG150" s="20">
        <f t="shared" si="3"/>
        <v>0</v>
      </c>
    </row>
    <row r="151" spans="1:59" ht="14.25" customHeight="1">
      <c r="A151" s="147" t="s">
        <v>59</v>
      </c>
      <c r="B151" s="147" t="s">
        <v>371</v>
      </c>
      <c r="C151" s="151" t="s">
        <v>372</v>
      </c>
      <c r="D151" s="151" t="s">
        <v>62</v>
      </c>
      <c r="E151" s="151">
        <v>12</v>
      </c>
      <c r="F151" s="149" t="s">
        <v>483</v>
      </c>
      <c r="G151" s="147" t="s">
        <v>403</v>
      </c>
      <c r="H151" s="147" t="s">
        <v>404</v>
      </c>
      <c r="I151" s="147" t="s">
        <v>484</v>
      </c>
      <c r="J151" s="164" t="s">
        <v>474</v>
      </c>
      <c r="K151" s="147" t="s">
        <v>406</v>
      </c>
      <c r="L151" s="147" t="s">
        <v>145</v>
      </c>
      <c r="M151" s="147" t="s">
        <v>485</v>
      </c>
      <c r="N151" s="147" t="s">
        <v>86</v>
      </c>
      <c r="O151" s="147" t="s">
        <v>86</v>
      </c>
      <c r="P151" s="147" t="s">
        <v>86</v>
      </c>
      <c r="Q151" s="147">
        <v>12</v>
      </c>
      <c r="R151" s="147" t="s">
        <v>72</v>
      </c>
      <c r="S151" s="147" t="s">
        <v>143</v>
      </c>
      <c r="T151" s="147" t="s">
        <v>74</v>
      </c>
      <c r="U151" s="148">
        <v>3400000</v>
      </c>
      <c r="V151" s="148">
        <v>3400000</v>
      </c>
      <c r="W151" s="147" t="s">
        <v>75</v>
      </c>
      <c r="X151" s="147" t="s">
        <v>67</v>
      </c>
      <c r="Y151" s="147" t="s">
        <v>147</v>
      </c>
      <c r="Z151" s="147" t="s">
        <v>148</v>
      </c>
      <c r="AA151" s="147">
        <v>6012220601</v>
      </c>
      <c r="AB151" s="160" t="s">
        <v>149</v>
      </c>
      <c r="AC151" s="14"/>
      <c r="AD151" s="14"/>
      <c r="AE151" s="14"/>
      <c r="AF151" s="14"/>
      <c r="AG151" s="14"/>
      <c r="AH151" s="14"/>
      <c r="AI151" s="14"/>
      <c r="AJ151" s="14"/>
      <c r="AK151" s="14">
        <v>3400000</v>
      </c>
      <c r="AL151" s="14">
        <v>3400000</v>
      </c>
      <c r="AM151" s="14"/>
      <c r="AN151" s="14"/>
      <c r="AO151" s="14"/>
      <c r="AP151" s="14"/>
      <c r="AQ151" s="14"/>
      <c r="AR151" s="14"/>
      <c r="AS151" s="14"/>
      <c r="AT151" s="14"/>
      <c r="AU151" s="15"/>
      <c r="AV151" s="15"/>
      <c r="AW151" s="15"/>
      <c r="AX151" s="15"/>
      <c r="AY151" s="15"/>
      <c r="AZ151" s="15"/>
      <c r="BA151" s="17"/>
      <c r="BB151" s="17"/>
      <c r="BC151" s="18">
        <f t="shared" ref="BC151:BD151" si="145">AC151+AE151+AG151+AI151+AK151+AM151+AO151+AQ151+AS151+AU151+AW151+AY151+BA151</f>
        <v>3400000</v>
      </c>
      <c r="BD151" s="18">
        <f t="shared" si="145"/>
        <v>3400000</v>
      </c>
      <c r="BE151" s="19">
        <f t="shared" si="1"/>
        <v>0</v>
      </c>
      <c r="BF151" s="20">
        <f t="shared" si="2"/>
        <v>0</v>
      </c>
      <c r="BG151" s="20">
        <f t="shared" si="3"/>
        <v>0</v>
      </c>
    </row>
    <row r="152" spans="1:59" ht="14.25" customHeight="1">
      <c r="A152" s="147" t="s">
        <v>59</v>
      </c>
      <c r="B152" s="147" t="s">
        <v>371</v>
      </c>
      <c r="C152" s="151" t="s">
        <v>372</v>
      </c>
      <c r="D152" s="151" t="s">
        <v>62</v>
      </c>
      <c r="E152" s="151">
        <v>16</v>
      </c>
      <c r="F152" s="149" t="s">
        <v>486</v>
      </c>
      <c r="G152" s="147" t="s">
        <v>487</v>
      </c>
      <c r="H152" s="147" t="s">
        <v>390</v>
      </c>
      <c r="I152" s="147" t="s">
        <v>391</v>
      </c>
      <c r="J152" s="164">
        <v>43231513</v>
      </c>
      <c r="K152" s="147" t="s">
        <v>392</v>
      </c>
      <c r="L152" s="147" t="s">
        <v>145</v>
      </c>
      <c r="M152" s="147" t="s">
        <v>488</v>
      </c>
      <c r="N152" s="147" t="s">
        <v>85</v>
      </c>
      <c r="O152" s="147" t="s">
        <v>86</v>
      </c>
      <c r="P152" s="147" t="s">
        <v>99</v>
      </c>
      <c r="Q152" s="147">
        <v>12</v>
      </c>
      <c r="R152" s="147" t="s">
        <v>72</v>
      </c>
      <c r="S152" s="147" t="s">
        <v>431</v>
      </c>
      <c r="T152" s="147" t="s">
        <v>74</v>
      </c>
      <c r="U152" s="148">
        <v>20000000</v>
      </c>
      <c r="V152" s="148">
        <v>20000000</v>
      </c>
      <c r="W152" s="147" t="s">
        <v>75</v>
      </c>
      <c r="X152" s="147" t="s">
        <v>67</v>
      </c>
      <c r="Y152" s="147" t="s">
        <v>147</v>
      </c>
      <c r="Z152" s="147" t="s">
        <v>148</v>
      </c>
      <c r="AA152" s="147">
        <v>6012220601</v>
      </c>
      <c r="AB152" s="160" t="s">
        <v>149</v>
      </c>
      <c r="AC152" s="14"/>
      <c r="AD152" s="14"/>
      <c r="AE152" s="14"/>
      <c r="AF152" s="14"/>
      <c r="AG152" s="14"/>
      <c r="AH152" s="14"/>
      <c r="AI152" s="14"/>
      <c r="AJ152" s="14"/>
      <c r="AK152" s="14"/>
      <c r="AL152" s="14"/>
      <c r="AM152" s="14"/>
      <c r="AN152" s="14"/>
      <c r="AO152" s="14"/>
      <c r="AP152" s="14"/>
      <c r="AQ152" s="14"/>
      <c r="AR152" s="14"/>
      <c r="AS152" s="14"/>
      <c r="AT152" s="14"/>
      <c r="AU152" s="15"/>
      <c r="AV152" s="15"/>
      <c r="AW152" s="15">
        <v>20000000</v>
      </c>
      <c r="AX152" s="15"/>
      <c r="AY152" s="15"/>
      <c r="AZ152" s="15">
        <v>20000000</v>
      </c>
      <c r="BA152" s="17"/>
      <c r="BB152" s="17"/>
      <c r="BC152" s="18">
        <f t="shared" ref="BC152:BD152" si="146">AC152+AE152+AG152+AI152+AK152+AM152+AO152+AQ152+AS152+AU152+AW152+AY152+BA152</f>
        <v>20000000</v>
      </c>
      <c r="BD152" s="18">
        <f t="shared" si="146"/>
        <v>20000000</v>
      </c>
      <c r="BE152" s="19">
        <f t="shared" si="1"/>
        <v>0</v>
      </c>
      <c r="BF152" s="20">
        <f t="shared" si="2"/>
        <v>0</v>
      </c>
      <c r="BG152" s="20">
        <f t="shared" si="3"/>
        <v>0</v>
      </c>
    </row>
    <row r="153" spans="1:59" ht="14.25" customHeight="1">
      <c r="A153" s="147" t="s">
        <v>59</v>
      </c>
      <c r="B153" s="147" t="s">
        <v>371</v>
      </c>
      <c r="C153" s="151" t="s">
        <v>372</v>
      </c>
      <c r="D153" s="151" t="s">
        <v>62</v>
      </c>
      <c r="E153" s="151">
        <v>32</v>
      </c>
      <c r="F153" s="149" t="s">
        <v>489</v>
      </c>
      <c r="G153" s="147" t="s">
        <v>490</v>
      </c>
      <c r="H153" s="147" t="s">
        <v>375</v>
      </c>
      <c r="I153" s="147" t="s">
        <v>380</v>
      </c>
      <c r="J153" s="164">
        <v>80111620</v>
      </c>
      <c r="K153" s="147" t="s">
        <v>377</v>
      </c>
      <c r="L153" s="147" t="s">
        <v>83</v>
      </c>
      <c r="M153" s="165" t="s">
        <v>491</v>
      </c>
      <c r="N153" s="147" t="s">
        <v>142</v>
      </c>
      <c r="O153" s="147" t="s">
        <v>142</v>
      </c>
      <c r="P153" s="147" t="s">
        <v>142</v>
      </c>
      <c r="Q153" s="147">
        <v>5</v>
      </c>
      <c r="R153" s="147" t="s">
        <v>72</v>
      </c>
      <c r="S153" s="147" t="s">
        <v>73</v>
      </c>
      <c r="T153" s="147" t="s">
        <v>74</v>
      </c>
      <c r="U153" s="148">
        <v>17488000</v>
      </c>
      <c r="V153" s="148">
        <v>17488000</v>
      </c>
      <c r="W153" s="147" t="s">
        <v>75</v>
      </c>
      <c r="X153" s="147" t="s">
        <v>67</v>
      </c>
      <c r="Y153" s="147" t="s">
        <v>147</v>
      </c>
      <c r="Z153" s="147" t="s">
        <v>148</v>
      </c>
      <c r="AA153" s="147">
        <v>6012220601</v>
      </c>
      <c r="AB153" s="160" t="s">
        <v>149</v>
      </c>
      <c r="AC153" s="14"/>
      <c r="AD153" s="14"/>
      <c r="AE153" s="14"/>
      <c r="AF153" s="14"/>
      <c r="AG153" s="14"/>
      <c r="AH153" s="14"/>
      <c r="AI153" s="14"/>
      <c r="AJ153" s="14"/>
      <c r="AK153" s="14"/>
      <c r="AL153" s="14"/>
      <c r="AM153" s="14"/>
      <c r="AN153" s="14"/>
      <c r="AO153" s="14"/>
      <c r="AP153" s="14"/>
      <c r="AQ153" s="14">
        <v>17488000</v>
      </c>
      <c r="AR153" s="14"/>
      <c r="AS153" s="14"/>
      <c r="AT153" s="14"/>
      <c r="AU153" s="15"/>
      <c r="AV153" s="15">
        <v>4372000</v>
      </c>
      <c r="AW153" s="15"/>
      <c r="AX153" s="15">
        <v>4372000</v>
      </c>
      <c r="AY153" s="15"/>
      <c r="AZ153" s="15">
        <v>8744000</v>
      </c>
      <c r="BA153" s="17"/>
      <c r="BB153" s="17"/>
      <c r="BC153" s="18">
        <f t="shared" ref="BC153:BD153" si="147">AC153+AE153+AG153+AI153+AK153+AM153+AO153+AQ153+AS153+AU153+AW153+AY153+BA153</f>
        <v>17488000</v>
      </c>
      <c r="BD153" s="18">
        <f t="shared" si="147"/>
        <v>17488000</v>
      </c>
      <c r="BE153" s="19">
        <f t="shared" si="1"/>
        <v>0</v>
      </c>
      <c r="BF153" s="20">
        <f t="shared" si="2"/>
        <v>0</v>
      </c>
      <c r="BG153" s="20">
        <f t="shared" si="3"/>
        <v>0</v>
      </c>
    </row>
    <row r="154" spans="1:59" ht="14.25" customHeight="1">
      <c r="A154" s="147" t="s">
        <v>59</v>
      </c>
      <c r="B154" s="147" t="s">
        <v>371</v>
      </c>
      <c r="C154" s="151" t="s">
        <v>372</v>
      </c>
      <c r="D154" s="151" t="s">
        <v>62</v>
      </c>
      <c r="E154" s="151">
        <v>3</v>
      </c>
      <c r="F154" s="149" t="s">
        <v>492</v>
      </c>
      <c r="G154" s="147" t="s">
        <v>487</v>
      </c>
      <c r="H154" s="147" t="s">
        <v>390</v>
      </c>
      <c r="I154" s="147" t="s">
        <v>391</v>
      </c>
      <c r="J154" s="164">
        <v>81111811</v>
      </c>
      <c r="K154" s="147" t="s">
        <v>392</v>
      </c>
      <c r="L154" s="147" t="s">
        <v>445</v>
      </c>
      <c r="M154" s="147" t="s">
        <v>493</v>
      </c>
      <c r="N154" s="147" t="s">
        <v>91</v>
      </c>
      <c r="O154" s="147" t="s">
        <v>91</v>
      </c>
      <c r="P154" s="147" t="s">
        <v>91</v>
      </c>
      <c r="Q154" s="147">
        <v>8</v>
      </c>
      <c r="R154" s="147" t="s">
        <v>72</v>
      </c>
      <c r="S154" s="147" t="s">
        <v>431</v>
      </c>
      <c r="T154" s="147" t="s">
        <v>74</v>
      </c>
      <c r="U154" s="148">
        <v>25259892</v>
      </c>
      <c r="V154" s="148">
        <v>25259892</v>
      </c>
      <c r="W154" s="147" t="s">
        <v>75</v>
      </c>
      <c r="X154" s="147" t="s">
        <v>67</v>
      </c>
      <c r="Y154" s="147" t="s">
        <v>147</v>
      </c>
      <c r="Z154" s="147" t="s">
        <v>148</v>
      </c>
      <c r="AA154" s="147">
        <v>6012220601</v>
      </c>
      <c r="AB154" s="160" t="s">
        <v>149</v>
      </c>
      <c r="AC154" s="14"/>
      <c r="AD154" s="14"/>
      <c r="AE154" s="14">
        <v>25259892</v>
      </c>
      <c r="AF154" s="14"/>
      <c r="AG154" s="14"/>
      <c r="AH154" s="14"/>
      <c r="AI154" s="14"/>
      <c r="AJ154" s="14"/>
      <c r="AK154" s="14"/>
      <c r="AL154" s="14">
        <v>5051978</v>
      </c>
      <c r="AM154" s="14"/>
      <c r="AN154" s="14"/>
      <c r="AO154" s="14"/>
      <c r="AP154" s="14"/>
      <c r="AQ154" s="14"/>
      <c r="AR154" s="14"/>
      <c r="AS154" s="14"/>
      <c r="AT154" s="14">
        <v>3536385</v>
      </c>
      <c r="AU154" s="15"/>
      <c r="AV154" s="15"/>
      <c r="AW154" s="15"/>
      <c r="AX154" s="15"/>
      <c r="AY154" s="15"/>
      <c r="AZ154" s="15">
        <v>16671529</v>
      </c>
      <c r="BA154" s="17"/>
      <c r="BB154" s="17"/>
      <c r="BC154" s="18">
        <f t="shared" ref="BC154:BD154" si="148">AC154+AE154+AG154+AI154+AK154+AM154+AO154+AQ154+AS154+AU154+AW154+AY154+BA154</f>
        <v>25259892</v>
      </c>
      <c r="BD154" s="18">
        <f t="shared" si="148"/>
        <v>25259892</v>
      </c>
      <c r="BE154" s="19">
        <f t="shared" si="1"/>
        <v>0</v>
      </c>
      <c r="BF154" s="20">
        <f t="shared" si="2"/>
        <v>0</v>
      </c>
      <c r="BG154" s="20">
        <f t="shared" si="3"/>
        <v>0</v>
      </c>
    </row>
    <row r="155" spans="1:59" ht="14.25" customHeight="1">
      <c r="A155" s="147" t="s">
        <v>59</v>
      </c>
      <c r="B155" s="147" t="s">
        <v>371</v>
      </c>
      <c r="C155" s="151" t="s">
        <v>372</v>
      </c>
      <c r="D155" s="151" t="s">
        <v>62</v>
      </c>
      <c r="E155" s="151">
        <v>32</v>
      </c>
      <c r="F155" s="149" t="s">
        <v>494</v>
      </c>
      <c r="G155" s="147" t="s">
        <v>403</v>
      </c>
      <c r="H155" s="147" t="s">
        <v>404</v>
      </c>
      <c r="I155" s="147" t="s">
        <v>405</v>
      </c>
      <c r="J155" s="164">
        <v>43232804</v>
      </c>
      <c r="K155" s="147" t="s">
        <v>406</v>
      </c>
      <c r="L155" s="147" t="s">
        <v>495</v>
      </c>
      <c r="M155" s="147" t="s">
        <v>496</v>
      </c>
      <c r="N155" s="147" t="s">
        <v>180</v>
      </c>
      <c r="O155" s="147" t="s">
        <v>226</v>
      </c>
      <c r="P155" s="147" t="s">
        <v>226</v>
      </c>
      <c r="Q155" s="147">
        <v>12</v>
      </c>
      <c r="R155" s="147" t="s">
        <v>72</v>
      </c>
      <c r="S155" s="147" t="s">
        <v>431</v>
      </c>
      <c r="T155" s="147" t="s">
        <v>74</v>
      </c>
      <c r="U155" s="148">
        <v>32093394</v>
      </c>
      <c r="V155" s="148">
        <v>32093394</v>
      </c>
      <c r="W155" s="147" t="s">
        <v>75</v>
      </c>
      <c r="X155" s="147" t="s">
        <v>67</v>
      </c>
      <c r="Y155" s="147" t="s">
        <v>147</v>
      </c>
      <c r="Z155" s="147" t="s">
        <v>148</v>
      </c>
      <c r="AA155" s="147">
        <v>6012220601</v>
      </c>
      <c r="AB155" s="160" t="s">
        <v>149</v>
      </c>
      <c r="AC155" s="14"/>
      <c r="AD155" s="14"/>
      <c r="AE155" s="14"/>
      <c r="AF155" s="14"/>
      <c r="AG155" s="14"/>
      <c r="AH155" s="14"/>
      <c r="AI155" s="14"/>
      <c r="AJ155" s="14"/>
      <c r="AK155" s="14"/>
      <c r="AL155" s="14"/>
      <c r="AM155" s="14"/>
      <c r="AN155" s="14"/>
      <c r="AO155" s="14"/>
      <c r="AP155" s="14"/>
      <c r="AQ155" s="14"/>
      <c r="AR155" s="14"/>
      <c r="AS155" s="14"/>
      <c r="AT155" s="14"/>
      <c r="AU155" s="15"/>
      <c r="AV155" s="15"/>
      <c r="AW155" s="15">
        <v>32093394</v>
      </c>
      <c r="AX155" s="15"/>
      <c r="AY155" s="15"/>
      <c r="AZ155" s="15">
        <v>32093394</v>
      </c>
      <c r="BA155" s="17"/>
      <c r="BB155" s="17"/>
      <c r="BC155" s="18">
        <f t="shared" ref="BC155:BD155" si="149">AC155+AE155+AG155+AI155+AK155+AM155+AO155+AQ155+AS155+AU155+AW155+AY155+BA155</f>
        <v>32093394</v>
      </c>
      <c r="BD155" s="18">
        <f t="shared" si="149"/>
        <v>32093394</v>
      </c>
      <c r="BE155" s="19">
        <f t="shared" si="1"/>
        <v>0</v>
      </c>
      <c r="BF155" s="20">
        <f t="shared" si="2"/>
        <v>0</v>
      </c>
      <c r="BG155" s="20">
        <f t="shared" si="3"/>
        <v>0</v>
      </c>
    </row>
    <row r="156" spans="1:59" ht="14.25" customHeight="1">
      <c r="A156" s="147" t="s">
        <v>59</v>
      </c>
      <c r="B156" s="147" t="s">
        <v>371</v>
      </c>
      <c r="C156" s="151" t="s">
        <v>372</v>
      </c>
      <c r="D156" s="151" t="s">
        <v>62</v>
      </c>
      <c r="E156" s="151">
        <v>32</v>
      </c>
      <c r="F156" s="149" t="s">
        <v>497</v>
      </c>
      <c r="G156" s="147" t="s">
        <v>487</v>
      </c>
      <c r="H156" s="147" t="s">
        <v>390</v>
      </c>
      <c r="I156" s="147" t="s">
        <v>391</v>
      </c>
      <c r="J156" s="164">
        <v>80111620</v>
      </c>
      <c r="K156" s="147" t="s">
        <v>392</v>
      </c>
      <c r="L156" s="147" t="s">
        <v>83</v>
      </c>
      <c r="M156" s="147" t="s">
        <v>498</v>
      </c>
      <c r="N156" s="147" t="s">
        <v>86</v>
      </c>
      <c r="O156" s="147" t="s">
        <v>86</v>
      </c>
      <c r="P156" s="165" t="s">
        <v>99</v>
      </c>
      <c r="Q156" s="147">
        <v>2</v>
      </c>
      <c r="R156" s="147" t="s">
        <v>72</v>
      </c>
      <c r="S156" s="147" t="s">
        <v>73</v>
      </c>
      <c r="T156" s="147" t="s">
        <v>74</v>
      </c>
      <c r="U156" s="148">
        <v>11707450</v>
      </c>
      <c r="V156" s="148">
        <v>11707450</v>
      </c>
      <c r="W156" s="147" t="s">
        <v>75</v>
      </c>
      <c r="X156" s="147" t="s">
        <v>67</v>
      </c>
      <c r="Y156" s="147" t="s">
        <v>147</v>
      </c>
      <c r="Z156" s="147" t="s">
        <v>148</v>
      </c>
      <c r="AA156" s="147">
        <v>6012220601</v>
      </c>
      <c r="AB156" s="160" t="s">
        <v>149</v>
      </c>
      <c r="AC156" s="14"/>
      <c r="AD156" s="14"/>
      <c r="AE156" s="14"/>
      <c r="AF156" s="14"/>
      <c r="AG156" s="14"/>
      <c r="AH156" s="14"/>
      <c r="AI156" s="14"/>
      <c r="AJ156" s="14"/>
      <c r="AK156" s="14">
        <v>8707450</v>
      </c>
      <c r="AL156" s="14"/>
      <c r="AM156" s="14"/>
      <c r="AN156" s="14">
        <v>3000000</v>
      </c>
      <c r="AO156" s="14">
        <v>3000000</v>
      </c>
      <c r="AP156" s="14">
        <v>5000000</v>
      </c>
      <c r="AQ156" s="14"/>
      <c r="AR156" s="14">
        <v>3707450</v>
      </c>
      <c r="AS156" s="14"/>
      <c r="AT156" s="14"/>
      <c r="AU156" s="15"/>
      <c r="AV156" s="15"/>
      <c r="AW156" s="15"/>
      <c r="AX156" s="15"/>
      <c r="AY156" s="15"/>
      <c r="AZ156" s="15"/>
      <c r="BA156" s="17"/>
      <c r="BB156" s="17"/>
      <c r="BC156" s="18">
        <f t="shared" ref="BC156:BD156" si="150">AC156+AE156+AG156+AI156+AK156+AM156+AO156+AQ156+AS156+AU156+AW156+AY156+BA156</f>
        <v>11707450</v>
      </c>
      <c r="BD156" s="18">
        <f t="shared" si="150"/>
        <v>11707450</v>
      </c>
      <c r="BE156" s="19">
        <f t="shared" si="1"/>
        <v>0</v>
      </c>
      <c r="BF156" s="20">
        <f t="shared" si="2"/>
        <v>0</v>
      </c>
      <c r="BG156" s="20">
        <f t="shared" si="3"/>
        <v>0</v>
      </c>
    </row>
    <row r="157" spans="1:59" ht="14.25" customHeight="1">
      <c r="A157" s="147" t="s">
        <v>59</v>
      </c>
      <c r="B157" s="147" t="s">
        <v>371</v>
      </c>
      <c r="C157" s="151" t="s">
        <v>372</v>
      </c>
      <c r="D157" s="151" t="s">
        <v>62</v>
      </c>
      <c r="E157" s="151">
        <v>30</v>
      </c>
      <c r="F157" s="163" t="s">
        <v>499</v>
      </c>
      <c r="G157" s="147" t="s">
        <v>487</v>
      </c>
      <c r="H157" s="147" t="s">
        <v>390</v>
      </c>
      <c r="I157" s="147" t="s">
        <v>391</v>
      </c>
      <c r="J157" s="164">
        <v>80111620</v>
      </c>
      <c r="K157" s="147" t="s">
        <v>392</v>
      </c>
      <c r="L157" s="147" t="s">
        <v>83</v>
      </c>
      <c r="M157" s="147" t="s">
        <v>500</v>
      </c>
      <c r="N157" s="147" t="s">
        <v>343</v>
      </c>
      <c r="O157" s="147" t="s">
        <v>343</v>
      </c>
      <c r="P157" s="147" t="s">
        <v>343</v>
      </c>
      <c r="Q157" s="147">
        <v>5</v>
      </c>
      <c r="R157" s="147" t="s">
        <v>72</v>
      </c>
      <c r="S157" s="147" t="s">
        <v>431</v>
      </c>
      <c r="T157" s="147" t="s">
        <v>74</v>
      </c>
      <c r="U157" s="148">
        <v>17923923</v>
      </c>
      <c r="V157" s="148">
        <v>17923923</v>
      </c>
      <c r="W157" s="147" t="s">
        <v>75</v>
      </c>
      <c r="X157" s="147" t="s">
        <v>67</v>
      </c>
      <c r="Y157" s="147" t="s">
        <v>147</v>
      </c>
      <c r="Z157" s="147" t="s">
        <v>148</v>
      </c>
      <c r="AA157" s="147">
        <v>6012220601</v>
      </c>
      <c r="AB157" s="160" t="s">
        <v>149</v>
      </c>
      <c r="AC157" s="10"/>
      <c r="AD157" s="49"/>
      <c r="AE157" s="10"/>
      <c r="AF157" s="50"/>
      <c r="AG157" s="10"/>
      <c r="AH157" s="50"/>
      <c r="AI157" s="10"/>
      <c r="AJ157" s="10"/>
      <c r="AK157" s="10"/>
      <c r="AL157" s="10"/>
      <c r="AM157" s="10"/>
      <c r="AN157" s="10"/>
      <c r="AO157" s="51">
        <v>17923923</v>
      </c>
      <c r="AP157" s="10"/>
      <c r="AQ157" s="10"/>
      <c r="AR157" s="10"/>
      <c r="AS157" s="10"/>
      <c r="AT157" s="10"/>
      <c r="AU157" s="10"/>
      <c r="AV157" s="52">
        <v>6000000</v>
      </c>
      <c r="AW157" s="10"/>
      <c r="AX157" s="52">
        <v>6000000</v>
      </c>
      <c r="AY157" s="10"/>
      <c r="AZ157" s="53">
        <v>5923923</v>
      </c>
      <c r="BA157" s="17"/>
      <c r="BB157" s="17"/>
      <c r="BC157" s="18">
        <f t="shared" ref="BC157:BD157" si="151">AC157+AE157+AG157+AI157+AK157+AM157+AO157+AQ157+AS157+AU157+AW157+AY157+BA157</f>
        <v>17923923</v>
      </c>
      <c r="BD157" s="18">
        <f t="shared" si="151"/>
        <v>17923923</v>
      </c>
      <c r="BE157" s="19">
        <f t="shared" si="1"/>
        <v>0</v>
      </c>
      <c r="BF157" s="20">
        <f t="shared" si="2"/>
        <v>0</v>
      </c>
      <c r="BG157" s="20">
        <f t="shared" si="3"/>
        <v>0</v>
      </c>
    </row>
    <row r="158" spans="1:59" ht="14.25" customHeight="1">
      <c r="A158" s="147" t="s">
        <v>59</v>
      </c>
      <c r="B158" s="147" t="s">
        <v>371</v>
      </c>
      <c r="C158" s="151" t="s">
        <v>372</v>
      </c>
      <c r="D158" s="151" t="s">
        <v>62</v>
      </c>
      <c r="E158" s="151">
        <v>30</v>
      </c>
      <c r="F158" s="163" t="s">
        <v>501</v>
      </c>
      <c r="G158" s="147" t="s">
        <v>403</v>
      </c>
      <c r="H158" s="147" t="s">
        <v>404</v>
      </c>
      <c r="I158" s="147" t="s">
        <v>405</v>
      </c>
      <c r="J158" s="164">
        <v>81112003</v>
      </c>
      <c r="K158" s="147" t="s">
        <v>406</v>
      </c>
      <c r="L158" s="147" t="s">
        <v>224</v>
      </c>
      <c r="M158" s="147" t="s">
        <v>502</v>
      </c>
      <c r="N158" s="147" t="s">
        <v>71</v>
      </c>
      <c r="O158" s="147" t="s">
        <v>180</v>
      </c>
      <c r="P158" s="147" t="s">
        <v>180</v>
      </c>
      <c r="Q158" s="147">
        <v>12</v>
      </c>
      <c r="R158" s="147" t="s">
        <v>72</v>
      </c>
      <c r="S158" s="147" t="s">
        <v>143</v>
      </c>
      <c r="T158" s="147" t="s">
        <v>74</v>
      </c>
      <c r="U158" s="148">
        <v>18309451</v>
      </c>
      <c r="V158" s="148">
        <v>18309451</v>
      </c>
      <c r="W158" s="147" t="s">
        <v>75</v>
      </c>
      <c r="X158" s="147" t="s">
        <v>67</v>
      </c>
      <c r="Y158" s="147" t="s">
        <v>147</v>
      </c>
      <c r="Z158" s="147" t="s">
        <v>148</v>
      </c>
      <c r="AA158" s="147">
        <v>6012220601</v>
      </c>
      <c r="AB158" s="160" t="s">
        <v>149</v>
      </c>
      <c r="AC158" s="10"/>
      <c r="AD158" s="50"/>
      <c r="AE158" s="10"/>
      <c r="AF158" s="50"/>
      <c r="AG158" s="10"/>
      <c r="AH158" s="50"/>
      <c r="AI158" s="10"/>
      <c r="AJ158" s="10"/>
      <c r="AK158" s="10"/>
      <c r="AL158" s="10"/>
      <c r="AM158" s="10"/>
      <c r="AN158" s="10"/>
      <c r="AO158" s="10"/>
      <c r="AP158" s="10"/>
      <c r="AQ158" s="10"/>
      <c r="AR158" s="10"/>
      <c r="AS158" s="10"/>
      <c r="AT158" s="10"/>
      <c r="AU158" s="52">
        <v>18309451</v>
      </c>
      <c r="AV158" s="52"/>
      <c r="AW158" s="10"/>
      <c r="AX158" s="52"/>
      <c r="AY158" s="10"/>
      <c r="AZ158" s="52">
        <v>18309451</v>
      </c>
      <c r="BA158" s="17"/>
      <c r="BB158" s="17"/>
      <c r="BC158" s="18">
        <f t="shared" ref="BC158:BD158" si="152">AC158+AE158+AG158+AI158+AK158+AM158+AO158+AQ158+AS158+AU158+AW158+AY158+BA158</f>
        <v>18309451</v>
      </c>
      <c r="BD158" s="18">
        <f t="shared" si="152"/>
        <v>18309451</v>
      </c>
      <c r="BE158" s="19">
        <f t="shared" si="1"/>
        <v>0</v>
      </c>
      <c r="BF158" s="20">
        <f t="shared" si="2"/>
        <v>0</v>
      </c>
      <c r="BG158" s="20">
        <f t="shared" si="3"/>
        <v>0</v>
      </c>
    </row>
    <row r="159" spans="1:59" ht="14.25" customHeight="1">
      <c r="A159" s="147" t="s">
        <v>59</v>
      </c>
      <c r="B159" s="147" t="s">
        <v>371</v>
      </c>
      <c r="C159" s="151" t="s">
        <v>372</v>
      </c>
      <c r="D159" s="151" t="s">
        <v>62</v>
      </c>
      <c r="E159" s="151">
        <v>32</v>
      </c>
      <c r="F159" s="163" t="s">
        <v>503</v>
      </c>
      <c r="G159" s="147" t="s">
        <v>487</v>
      </c>
      <c r="H159" s="147" t="s">
        <v>390</v>
      </c>
      <c r="I159" s="147" t="s">
        <v>391</v>
      </c>
      <c r="J159" s="164">
        <v>80111620</v>
      </c>
      <c r="K159" s="147" t="s">
        <v>392</v>
      </c>
      <c r="L159" s="147" t="s">
        <v>83</v>
      </c>
      <c r="M159" s="165" t="s">
        <v>504</v>
      </c>
      <c r="N159" s="147" t="s">
        <v>142</v>
      </c>
      <c r="O159" s="147" t="s">
        <v>142</v>
      </c>
      <c r="P159" s="147" t="s">
        <v>142</v>
      </c>
      <c r="Q159" s="147">
        <v>5</v>
      </c>
      <c r="R159" s="147" t="s">
        <v>72</v>
      </c>
      <c r="S159" s="147" t="s">
        <v>73</v>
      </c>
      <c r="T159" s="147" t="s">
        <v>74</v>
      </c>
      <c r="U159" s="148">
        <v>2186000</v>
      </c>
      <c r="V159" s="148">
        <v>2186000</v>
      </c>
      <c r="W159" s="147" t="s">
        <v>75</v>
      </c>
      <c r="X159" s="147" t="s">
        <v>67</v>
      </c>
      <c r="Y159" s="147" t="s">
        <v>147</v>
      </c>
      <c r="Z159" s="147" t="s">
        <v>148</v>
      </c>
      <c r="AA159" s="147">
        <v>6012220601</v>
      </c>
      <c r="AB159" s="160" t="s">
        <v>149</v>
      </c>
      <c r="AC159" s="10"/>
      <c r="AD159" s="50"/>
      <c r="AE159" s="10"/>
      <c r="AF159" s="50"/>
      <c r="AG159" s="10"/>
      <c r="AH159" s="50"/>
      <c r="AI159" s="10"/>
      <c r="AJ159" s="10"/>
      <c r="AK159" s="10"/>
      <c r="AL159" s="10"/>
      <c r="AM159" s="10"/>
      <c r="AN159" s="10"/>
      <c r="AO159" s="10"/>
      <c r="AP159" s="10"/>
      <c r="AQ159" s="51">
        <v>2186000</v>
      </c>
      <c r="AR159" s="10"/>
      <c r="AS159" s="11">
        <v>-437200</v>
      </c>
      <c r="AT159" s="52">
        <v>1748800</v>
      </c>
      <c r="AU159" s="52"/>
      <c r="AV159" s="52"/>
      <c r="AW159" s="10"/>
      <c r="AX159" s="52"/>
      <c r="AY159" s="10"/>
      <c r="AZ159" s="52"/>
      <c r="BA159" s="33">
        <v>437200</v>
      </c>
      <c r="BB159" s="33">
        <v>437200</v>
      </c>
      <c r="BC159" s="18">
        <f t="shared" ref="BC159:BD159" si="153">AC159+AE159+AG159+AI159+AK159+AM159+AO159+AQ159+AS159+AU159+AW159+AY159+BA159</f>
        <v>2186000</v>
      </c>
      <c r="BD159" s="18">
        <f t="shared" si="153"/>
        <v>2186000</v>
      </c>
      <c r="BE159" s="19">
        <f t="shared" si="1"/>
        <v>0</v>
      </c>
      <c r="BF159" s="20">
        <f t="shared" si="2"/>
        <v>0</v>
      </c>
      <c r="BG159" s="20">
        <f t="shared" si="3"/>
        <v>0</v>
      </c>
    </row>
    <row r="160" spans="1:59" ht="14.25" customHeight="1">
      <c r="A160" s="147" t="s">
        <v>59</v>
      </c>
      <c r="B160" s="147" t="s">
        <v>371</v>
      </c>
      <c r="C160" s="151" t="s">
        <v>372</v>
      </c>
      <c r="D160" s="151" t="s">
        <v>62</v>
      </c>
      <c r="E160" s="151">
        <v>36</v>
      </c>
      <c r="F160" s="163" t="s">
        <v>505</v>
      </c>
      <c r="G160" s="147" t="s">
        <v>487</v>
      </c>
      <c r="H160" s="147" t="s">
        <v>390</v>
      </c>
      <c r="I160" s="147" t="s">
        <v>391</v>
      </c>
      <c r="J160" s="164">
        <v>80111620</v>
      </c>
      <c r="K160" s="147" t="s">
        <v>392</v>
      </c>
      <c r="L160" s="147" t="s">
        <v>83</v>
      </c>
      <c r="M160" s="147" t="s">
        <v>506</v>
      </c>
      <c r="N160" s="147" t="s">
        <v>142</v>
      </c>
      <c r="O160" s="147" t="s">
        <v>142</v>
      </c>
      <c r="P160" s="147" t="s">
        <v>142</v>
      </c>
      <c r="Q160" s="147">
        <v>4</v>
      </c>
      <c r="R160" s="147" t="s">
        <v>72</v>
      </c>
      <c r="S160" s="147" t="s">
        <v>73</v>
      </c>
      <c r="T160" s="147" t="s">
        <v>74</v>
      </c>
      <c r="U160" s="148">
        <v>16000000</v>
      </c>
      <c r="V160" s="148">
        <v>16000000</v>
      </c>
      <c r="W160" s="147" t="s">
        <v>75</v>
      </c>
      <c r="X160" s="147" t="s">
        <v>67</v>
      </c>
      <c r="Y160" s="147" t="s">
        <v>147</v>
      </c>
      <c r="Z160" s="147" t="s">
        <v>148</v>
      </c>
      <c r="AA160" s="147">
        <v>6012220601</v>
      </c>
      <c r="AB160" s="160" t="s">
        <v>149</v>
      </c>
      <c r="AC160" s="10"/>
      <c r="AD160" s="50"/>
      <c r="AE160" s="10"/>
      <c r="AF160" s="50"/>
      <c r="AG160" s="10"/>
      <c r="AH160" s="50"/>
      <c r="AI160" s="10"/>
      <c r="AJ160" s="10"/>
      <c r="AK160" s="10"/>
      <c r="AL160" s="10"/>
      <c r="AM160" s="10"/>
      <c r="AN160" s="10"/>
      <c r="AO160" s="10"/>
      <c r="AP160" s="10"/>
      <c r="AQ160" s="10"/>
      <c r="AR160" s="10"/>
      <c r="AS160" s="10"/>
      <c r="AT160" s="10"/>
      <c r="AU160" s="52"/>
      <c r="AV160" s="52"/>
      <c r="AW160" s="10"/>
      <c r="AX160" s="52"/>
      <c r="AY160" s="10"/>
      <c r="AZ160" s="53"/>
      <c r="BA160" s="33">
        <v>16000000</v>
      </c>
      <c r="BB160" s="33">
        <v>16000000</v>
      </c>
      <c r="BC160" s="18">
        <f t="shared" ref="BC160:BD160" si="154">AC160+AE160+AG160+AI160+AK160+AM160+AO160+AQ160+AS160+AU160+AW160+AY160+BA160</f>
        <v>16000000</v>
      </c>
      <c r="BD160" s="18">
        <f t="shared" si="154"/>
        <v>16000000</v>
      </c>
      <c r="BE160" s="19">
        <f t="shared" si="1"/>
        <v>0</v>
      </c>
      <c r="BF160" s="20">
        <f t="shared" si="2"/>
        <v>0</v>
      </c>
      <c r="BG160" s="20">
        <f t="shared" si="3"/>
        <v>0</v>
      </c>
    </row>
    <row r="161" spans="1:59" ht="14.25" customHeight="1">
      <c r="A161" s="147" t="s">
        <v>59</v>
      </c>
      <c r="B161" s="147" t="s">
        <v>371</v>
      </c>
      <c r="C161" s="151" t="s">
        <v>372</v>
      </c>
      <c r="D161" s="151" t="s">
        <v>62</v>
      </c>
      <c r="E161" s="151">
        <v>42</v>
      </c>
      <c r="F161" s="163" t="s">
        <v>507</v>
      </c>
      <c r="G161" s="147" t="s">
        <v>487</v>
      </c>
      <c r="H161" s="147" t="s">
        <v>390</v>
      </c>
      <c r="I161" s="147" t="s">
        <v>391</v>
      </c>
      <c r="J161" s="164">
        <v>81112210</v>
      </c>
      <c r="K161" s="147" t="s">
        <v>392</v>
      </c>
      <c r="L161" s="147" t="s">
        <v>495</v>
      </c>
      <c r="M161" s="147" t="s">
        <v>508</v>
      </c>
      <c r="N161" s="147" t="s">
        <v>142</v>
      </c>
      <c r="O161" s="147" t="s">
        <v>142</v>
      </c>
      <c r="P161" s="147" t="s">
        <v>71</v>
      </c>
      <c r="Q161" s="147">
        <v>8</v>
      </c>
      <c r="R161" s="147" t="s">
        <v>72</v>
      </c>
      <c r="S161" s="147" t="s">
        <v>431</v>
      </c>
      <c r="T161" s="147" t="s">
        <v>74</v>
      </c>
      <c r="U161" s="148">
        <v>20000000</v>
      </c>
      <c r="V161" s="148">
        <v>20000000</v>
      </c>
      <c r="W161" s="147" t="s">
        <v>75</v>
      </c>
      <c r="X161" s="147" t="s">
        <v>67</v>
      </c>
      <c r="Y161" s="147" t="s">
        <v>147</v>
      </c>
      <c r="Z161" s="147" t="s">
        <v>148</v>
      </c>
      <c r="AA161" s="147">
        <v>6012220601</v>
      </c>
      <c r="AB161" s="160" t="s">
        <v>149</v>
      </c>
      <c r="AC161" s="10"/>
      <c r="AD161" s="50"/>
      <c r="AE161" s="10"/>
      <c r="AF161" s="50"/>
      <c r="AG161" s="10"/>
      <c r="AH161" s="50"/>
      <c r="AI161" s="10"/>
      <c r="AJ161" s="10"/>
      <c r="AK161" s="10"/>
      <c r="AL161" s="10"/>
      <c r="AM161" s="10"/>
      <c r="AN161" s="10"/>
      <c r="AO161" s="10"/>
      <c r="AP161" s="10"/>
      <c r="AQ161" s="10"/>
      <c r="AR161" s="10"/>
      <c r="AS161" s="10"/>
      <c r="AT161" s="10"/>
      <c r="AU161" s="53">
        <v>20000000</v>
      </c>
      <c r="AV161" s="52"/>
      <c r="AW161" s="10"/>
      <c r="AX161" s="52"/>
      <c r="AY161" s="10"/>
      <c r="AZ161" s="52">
        <v>20000000</v>
      </c>
      <c r="BA161" s="17"/>
      <c r="BB161" s="17"/>
      <c r="BC161" s="18">
        <f t="shared" ref="BC161:BD161" si="155">AC161+AE161+AG161+AI161+AK161+AM161+AO161+AQ161+AS161+AU161+AW161+AY161+BA161</f>
        <v>20000000</v>
      </c>
      <c r="BD161" s="18">
        <f t="shared" si="155"/>
        <v>20000000</v>
      </c>
      <c r="BE161" s="19">
        <f t="shared" si="1"/>
        <v>0</v>
      </c>
      <c r="BF161" s="20">
        <f t="shared" si="2"/>
        <v>0</v>
      </c>
      <c r="BG161" s="20">
        <f t="shared" si="3"/>
        <v>0</v>
      </c>
    </row>
    <row r="162" spans="1:59" ht="14.25" customHeight="1">
      <c r="A162" s="147" t="s">
        <v>59</v>
      </c>
      <c r="B162" s="147" t="s">
        <v>371</v>
      </c>
      <c r="C162" s="151" t="s">
        <v>372</v>
      </c>
      <c r="D162" s="151" t="s">
        <v>62</v>
      </c>
      <c r="E162" s="151">
        <v>42</v>
      </c>
      <c r="F162" s="163" t="s">
        <v>509</v>
      </c>
      <c r="G162" s="147" t="s">
        <v>487</v>
      </c>
      <c r="H162" s="147" t="s">
        <v>390</v>
      </c>
      <c r="I162" s="147" t="s">
        <v>391</v>
      </c>
      <c r="J162" s="164">
        <v>80111620</v>
      </c>
      <c r="K162" s="147" t="s">
        <v>392</v>
      </c>
      <c r="L162" s="147" t="s">
        <v>83</v>
      </c>
      <c r="M162" s="147" t="s">
        <v>510</v>
      </c>
      <c r="N162" s="147" t="s">
        <v>142</v>
      </c>
      <c r="O162" s="147" t="s">
        <v>142</v>
      </c>
      <c r="P162" s="147" t="s">
        <v>71</v>
      </c>
      <c r="Q162" s="147">
        <v>4</v>
      </c>
      <c r="R162" s="147" t="s">
        <v>72</v>
      </c>
      <c r="S162" s="147" t="s">
        <v>431</v>
      </c>
      <c r="T162" s="147" t="s">
        <v>74</v>
      </c>
      <c r="U162" s="148">
        <v>13141800</v>
      </c>
      <c r="V162" s="148">
        <v>13141800</v>
      </c>
      <c r="W162" s="147" t="s">
        <v>75</v>
      </c>
      <c r="X162" s="147" t="s">
        <v>67</v>
      </c>
      <c r="Y162" s="147" t="s">
        <v>147</v>
      </c>
      <c r="Z162" s="147" t="s">
        <v>148</v>
      </c>
      <c r="AA162" s="147">
        <v>6012220601</v>
      </c>
      <c r="AB162" s="160" t="s">
        <v>149</v>
      </c>
      <c r="AC162" s="10"/>
      <c r="AD162" s="50"/>
      <c r="AE162" s="10"/>
      <c r="AF162" s="50"/>
      <c r="AG162" s="10"/>
      <c r="AH162" s="50"/>
      <c r="AI162" s="10"/>
      <c r="AJ162" s="10"/>
      <c r="AK162" s="10"/>
      <c r="AL162" s="10"/>
      <c r="AM162" s="10"/>
      <c r="AN162" s="10"/>
      <c r="AO162" s="10"/>
      <c r="AP162" s="10"/>
      <c r="AQ162" s="10"/>
      <c r="AR162" s="10"/>
      <c r="AS162" s="51">
        <v>11170530</v>
      </c>
      <c r="AT162" s="10"/>
      <c r="AU162" s="52"/>
      <c r="AV162" s="52">
        <v>3285450</v>
      </c>
      <c r="AW162" s="10"/>
      <c r="AX162" s="52">
        <v>3285450</v>
      </c>
      <c r="AY162" s="10"/>
      <c r="AZ162" s="53">
        <v>4599630</v>
      </c>
      <c r="BA162" s="33">
        <v>1971270</v>
      </c>
      <c r="BB162" s="33">
        <v>1971270</v>
      </c>
      <c r="BC162" s="18">
        <f t="shared" ref="BC162:BD162" si="156">AC162+AE162+AG162+AI162+AK162+AM162+AO162+AQ162+AS162+AU162+AW162+AY162+BA162</f>
        <v>13141800</v>
      </c>
      <c r="BD162" s="18">
        <f t="shared" si="156"/>
        <v>13141800</v>
      </c>
      <c r="BE162" s="19">
        <f t="shared" si="1"/>
        <v>0</v>
      </c>
      <c r="BF162" s="20">
        <f t="shared" si="2"/>
        <v>0</v>
      </c>
      <c r="BG162" s="20">
        <f t="shared" si="3"/>
        <v>0</v>
      </c>
    </row>
    <row r="163" spans="1:59" ht="14.25" customHeight="1">
      <c r="A163" s="147" t="s">
        <v>59</v>
      </c>
      <c r="B163" s="147" t="s">
        <v>371</v>
      </c>
      <c r="C163" s="151" t="s">
        <v>372</v>
      </c>
      <c r="D163" s="151" t="s">
        <v>62</v>
      </c>
      <c r="E163" s="151">
        <v>42</v>
      </c>
      <c r="F163" s="163" t="s">
        <v>511</v>
      </c>
      <c r="G163" s="147" t="s">
        <v>487</v>
      </c>
      <c r="H163" s="147" t="s">
        <v>390</v>
      </c>
      <c r="I163" s="147" t="s">
        <v>391</v>
      </c>
      <c r="J163" s="164">
        <v>43233203</v>
      </c>
      <c r="K163" s="147" t="s">
        <v>392</v>
      </c>
      <c r="L163" s="147" t="s">
        <v>145</v>
      </c>
      <c r="M163" s="147" t="s">
        <v>512</v>
      </c>
      <c r="N163" s="147" t="s">
        <v>180</v>
      </c>
      <c r="O163" s="147" t="s">
        <v>226</v>
      </c>
      <c r="P163" s="147" t="s">
        <v>226</v>
      </c>
      <c r="Q163" s="147">
        <v>12</v>
      </c>
      <c r="R163" s="147" t="s">
        <v>72</v>
      </c>
      <c r="S163" s="147" t="s">
        <v>431</v>
      </c>
      <c r="T163" s="147" t="s">
        <v>74</v>
      </c>
      <c r="U163" s="148">
        <v>0</v>
      </c>
      <c r="V163" s="148">
        <v>0</v>
      </c>
      <c r="W163" s="147" t="s">
        <v>75</v>
      </c>
      <c r="X163" s="147" t="s">
        <v>67</v>
      </c>
      <c r="Y163" s="147" t="s">
        <v>147</v>
      </c>
      <c r="Z163" s="147" t="s">
        <v>148</v>
      </c>
      <c r="AA163" s="147">
        <v>6012220601</v>
      </c>
      <c r="AB163" s="160" t="s">
        <v>149</v>
      </c>
      <c r="AC163" s="10"/>
      <c r="AD163" s="50"/>
      <c r="AE163" s="10"/>
      <c r="AF163" s="50"/>
      <c r="AG163" s="10"/>
      <c r="AH163" s="50"/>
      <c r="AI163" s="10"/>
      <c r="AJ163" s="10"/>
      <c r="AK163" s="10"/>
      <c r="AL163" s="10"/>
      <c r="AM163" s="10"/>
      <c r="AN163" s="10"/>
      <c r="AO163" s="10"/>
      <c r="AP163" s="10"/>
      <c r="AQ163" s="10"/>
      <c r="AR163" s="10"/>
      <c r="AS163" s="10"/>
      <c r="AT163" s="10"/>
      <c r="AU163" s="52"/>
      <c r="AV163" s="52"/>
      <c r="AW163" s="52"/>
      <c r="AX163" s="52"/>
      <c r="AY163" s="10"/>
      <c r="AZ163" s="52"/>
      <c r="BA163" s="17"/>
      <c r="BB163" s="17"/>
      <c r="BC163" s="18">
        <f t="shared" ref="BC163:BD163" si="157">AC163+AE163+AG163+AI163+AK163+AM163+AO163+AQ163+AS163+AU163+AW163+AY163+BA163</f>
        <v>0</v>
      </c>
      <c r="BD163" s="18">
        <f t="shared" si="157"/>
        <v>0</v>
      </c>
      <c r="BE163" s="19">
        <f t="shared" si="1"/>
        <v>0</v>
      </c>
      <c r="BF163" s="20">
        <f t="shared" si="2"/>
        <v>0</v>
      </c>
      <c r="BG163" s="20">
        <f t="shared" si="3"/>
        <v>0</v>
      </c>
    </row>
    <row r="164" spans="1:59" ht="14.25" customHeight="1">
      <c r="A164" s="147" t="s">
        <v>59</v>
      </c>
      <c r="B164" s="147" t="s">
        <v>371</v>
      </c>
      <c r="C164" s="151" t="s">
        <v>372</v>
      </c>
      <c r="D164" s="151" t="s">
        <v>62</v>
      </c>
      <c r="E164" s="151">
        <v>42</v>
      </c>
      <c r="F164" s="163" t="s">
        <v>513</v>
      </c>
      <c r="G164" s="147" t="s">
        <v>487</v>
      </c>
      <c r="H164" s="147" t="s">
        <v>390</v>
      </c>
      <c r="I164" s="147" t="s">
        <v>391</v>
      </c>
      <c r="J164" s="164">
        <v>80111620</v>
      </c>
      <c r="K164" s="147" t="s">
        <v>392</v>
      </c>
      <c r="L164" s="147" t="s">
        <v>83</v>
      </c>
      <c r="M164" s="147" t="s">
        <v>514</v>
      </c>
      <c r="N164" s="147" t="s">
        <v>142</v>
      </c>
      <c r="O164" s="147" t="s">
        <v>142</v>
      </c>
      <c r="P164" s="147" t="s">
        <v>142</v>
      </c>
      <c r="Q164" s="147">
        <v>2</v>
      </c>
      <c r="R164" s="147" t="s">
        <v>72</v>
      </c>
      <c r="S164" s="147" t="s">
        <v>431</v>
      </c>
      <c r="T164" s="147" t="s">
        <v>74</v>
      </c>
      <c r="U164" s="148">
        <v>0</v>
      </c>
      <c r="V164" s="148">
        <v>0</v>
      </c>
      <c r="W164" s="147" t="s">
        <v>75</v>
      </c>
      <c r="X164" s="147" t="s">
        <v>67</v>
      </c>
      <c r="Y164" s="147" t="s">
        <v>147</v>
      </c>
      <c r="Z164" s="147" t="s">
        <v>148</v>
      </c>
      <c r="AA164" s="147">
        <v>6012220601</v>
      </c>
      <c r="AB164" s="160" t="s">
        <v>149</v>
      </c>
      <c r="AC164" s="10"/>
      <c r="AD164" s="50"/>
      <c r="AE164" s="10"/>
      <c r="AF164" s="50"/>
      <c r="AG164" s="10"/>
      <c r="AH164" s="50"/>
      <c r="AI164" s="10"/>
      <c r="AJ164" s="10"/>
      <c r="AK164" s="10"/>
      <c r="AL164" s="10"/>
      <c r="AM164" s="10"/>
      <c r="AN164" s="10"/>
      <c r="AO164" s="10"/>
      <c r="AP164" s="10"/>
      <c r="AQ164" s="10"/>
      <c r="AR164" s="10"/>
      <c r="AS164" s="10"/>
      <c r="AT164" s="10"/>
      <c r="AU164" s="52"/>
      <c r="AV164" s="52"/>
      <c r="AW164" s="10"/>
      <c r="AX164" s="52"/>
      <c r="AY164" s="10"/>
      <c r="AZ164" s="52"/>
      <c r="BA164" s="17"/>
      <c r="BB164" s="17"/>
      <c r="BC164" s="18">
        <f t="shared" ref="BC164:BD164" si="158">AC164+AE164+AG164+AI164+AK164+AM164+AO164+AQ164+AS164+AU164+AW164+AY164+BA164</f>
        <v>0</v>
      </c>
      <c r="BD164" s="18">
        <f t="shared" si="158"/>
        <v>0</v>
      </c>
      <c r="BE164" s="19">
        <f t="shared" si="1"/>
        <v>0</v>
      </c>
      <c r="BF164" s="20">
        <f t="shared" si="2"/>
        <v>0</v>
      </c>
      <c r="BG164" s="20">
        <f t="shared" si="3"/>
        <v>0</v>
      </c>
    </row>
    <row r="165" spans="1:59" ht="14.25" customHeight="1">
      <c r="A165" s="147" t="s">
        <v>59</v>
      </c>
      <c r="B165" s="147" t="s">
        <v>371</v>
      </c>
      <c r="C165" s="151" t="s">
        <v>372</v>
      </c>
      <c r="D165" s="151" t="s">
        <v>62</v>
      </c>
      <c r="E165" s="151">
        <v>36</v>
      </c>
      <c r="F165" s="163" t="s">
        <v>515</v>
      </c>
      <c r="G165" s="147" t="s">
        <v>487</v>
      </c>
      <c r="H165" s="147" t="s">
        <v>390</v>
      </c>
      <c r="I165" s="147" t="s">
        <v>391</v>
      </c>
      <c r="J165" s="164">
        <v>80111620</v>
      </c>
      <c r="K165" s="147" t="s">
        <v>392</v>
      </c>
      <c r="L165" s="147" t="s">
        <v>83</v>
      </c>
      <c r="M165" s="147" t="s">
        <v>516</v>
      </c>
      <c r="N165" s="147" t="s">
        <v>142</v>
      </c>
      <c r="O165" s="147" t="s">
        <v>142</v>
      </c>
      <c r="P165" s="147" t="s">
        <v>142</v>
      </c>
      <c r="Q165" s="147">
        <v>2</v>
      </c>
      <c r="R165" s="147" t="s">
        <v>72</v>
      </c>
      <c r="S165" s="147" t="s">
        <v>431</v>
      </c>
      <c r="T165" s="147" t="s">
        <v>74</v>
      </c>
      <c r="U165" s="148">
        <v>2666216</v>
      </c>
      <c r="V165" s="148">
        <v>2666216</v>
      </c>
      <c r="W165" s="147" t="s">
        <v>75</v>
      </c>
      <c r="X165" s="147" t="s">
        <v>67</v>
      </c>
      <c r="Y165" s="147" t="s">
        <v>147</v>
      </c>
      <c r="Z165" s="147" t="s">
        <v>148</v>
      </c>
      <c r="AA165" s="147">
        <v>6012220601</v>
      </c>
      <c r="AB165" s="160" t="s">
        <v>149</v>
      </c>
      <c r="AC165" s="10"/>
      <c r="AD165" s="50"/>
      <c r="AE165" s="10"/>
      <c r="AF165" s="50"/>
      <c r="AG165" s="10"/>
      <c r="AH165" s="50"/>
      <c r="AI165" s="10"/>
      <c r="AJ165" s="10"/>
      <c r="AK165" s="10"/>
      <c r="AL165" s="10"/>
      <c r="AM165" s="10"/>
      <c r="AN165" s="10"/>
      <c r="AO165" s="10"/>
      <c r="AP165" s="10"/>
      <c r="AQ165" s="10"/>
      <c r="AR165" s="10"/>
      <c r="AS165" s="51">
        <v>2666216</v>
      </c>
      <c r="AT165" s="10"/>
      <c r="AU165" s="52"/>
      <c r="AV165" s="52">
        <v>2666216</v>
      </c>
      <c r="AW165" s="10"/>
      <c r="AX165" s="52"/>
      <c r="AY165" s="10"/>
      <c r="AZ165" s="52"/>
      <c r="BA165" s="17"/>
      <c r="BB165" s="17"/>
      <c r="BC165" s="18">
        <f t="shared" ref="BC165:BD165" si="159">AC165+AE165+AG165+AI165+AK165+AM165+AO165+AQ165+AS165+AU165+AW165+AY165+BA165</f>
        <v>2666216</v>
      </c>
      <c r="BD165" s="18">
        <f t="shared" si="159"/>
        <v>2666216</v>
      </c>
      <c r="BE165" s="19">
        <f t="shared" si="1"/>
        <v>0</v>
      </c>
      <c r="BF165" s="20">
        <f t="shared" si="2"/>
        <v>0</v>
      </c>
      <c r="BG165" s="20">
        <f t="shared" si="3"/>
        <v>0</v>
      </c>
    </row>
    <row r="166" spans="1:59" ht="14.25" customHeight="1">
      <c r="A166" s="147" t="s">
        <v>59</v>
      </c>
      <c r="B166" s="147" t="s">
        <v>371</v>
      </c>
      <c r="C166" s="151" t="s">
        <v>372</v>
      </c>
      <c r="D166" s="151" t="s">
        <v>62</v>
      </c>
      <c r="E166" s="151">
        <v>36</v>
      </c>
      <c r="F166" s="163" t="s">
        <v>517</v>
      </c>
      <c r="G166" s="147" t="s">
        <v>487</v>
      </c>
      <c r="H166" s="147" t="s">
        <v>390</v>
      </c>
      <c r="I166" s="147" t="s">
        <v>391</v>
      </c>
      <c r="J166" s="164">
        <v>80111620</v>
      </c>
      <c r="K166" s="147" t="s">
        <v>392</v>
      </c>
      <c r="L166" s="147" t="s">
        <v>83</v>
      </c>
      <c r="M166" s="147" t="s">
        <v>518</v>
      </c>
      <c r="N166" s="147" t="s">
        <v>142</v>
      </c>
      <c r="O166" s="147" t="s">
        <v>142</v>
      </c>
      <c r="P166" s="147" t="s">
        <v>142</v>
      </c>
      <c r="Q166" s="147">
        <v>4</v>
      </c>
      <c r="R166" s="147" t="s">
        <v>72</v>
      </c>
      <c r="S166" s="147" t="s">
        <v>431</v>
      </c>
      <c r="T166" s="147" t="s">
        <v>74</v>
      </c>
      <c r="U166" s="148">
        <v>20000000</v>
      </c>
      <c r="V166" s="148">
        <v>20000000</v>
      </c>
      <c r="W166" s="147" t="s">
        <v>75</v>
      </c>
      <c r="X166" s="147" t="s">
        <v>67</v>
      </c>
      <c r="Y166" s="147" t="s">
        <v>147</v>
      </c>
      <c r="Z166" s="147" t="s">
        <v>148</v>
      </c>
      <c r="AA166" s="147">
        <v>6012220601</v>
      </c>
      <c r="AB166" s="160" t="s">
        <v>149</v>
      </c>
      <c r="AC166" s="10"/>
      <c r="AD166" s="50"/>
      <c r="AE166" s="10"/>
      <c r="AF166" s="50"/>
      <c r="AG166" s="10"/>
      <c r="AH166" s="50"/>
      <c r="AI166" s="10"/>
      <c r="AJ166" s="10"/>
      <c r="AK166" s="10"/>
      <c r="AL166" s="10"/>
      <c r="AM166" s="10"/>
      <c r="AN166" s="10"/>
      <c r="AO166" s="10"/>
      <c r="AP166" s="10"/>
      <c r="AQ166" s="10"/>
      <c r="AR166" s="10"/>
      <c r="AS166" s="10"/>
      <c r="AT166" s="10"/>
      <c r="AU166" s="52"/>
      <c r="AV166" s="52"/>
      <c r="AW166" s="10"/>
      <c r="AX166" s="52"/>
      <c r="AY166" s="10"/>
      <c r="AZ166" s="53"/>
      <c r="BA166" s="33">
        <v>20000000</v>
      </c>
      <c r="BB166" s="33">
        <v>20000000</v>
      </c>
      <c r="BC166" s="18">
        <f t="shared" ref="BC166:BD166" si="160">AC166+AE166+AG166+AI166+AK166+AM166+AO166+AQ166+AS166+AU166+AW166+AY166+BA166</f>
        <v>20000000</v>
      </c>
      <c r="BD166" s="18">
        <f t="shared" si="160"/>
        <v>20000000</v>
      </c>
      <c r="BE166" s="19">
        <f t="shared" si="1"/>
        <v>0</v>
      </c>
      <c r="BF166" s="20">
        <f t="shared" si="2"/>
        <v>0</v>
      </c>
      <c r="BG166" s="20">
        <f t="shared" si="3"/>
        <v>0</v>
      </c>
    </row>
    <row r="167" spans="1:59" ht="14.25" customHeight="1">
      <c r="A167" s="147" t="s">
        <v>59</v>
      </c>
      <c r="B167" s="147" t="s">
        <v>371</v>
      </c>
      <c r="C167" s="151" t="s">
        <v>372</v>
      </c>
      <c r="D167" s="151" t="s">
        <v>62</v>
      </c>
      <c r="E167" s="151">
        <v>42</v>
      </c>
      <c r="F167" s="163" t="s">
        <v>519</v>
      </c>
      <c r="G167" s="147" t="s">
        <v>374</v>
      </c>
      <c r="H167" s="147" t="s">
        <v>375</v>
      </c>
      <c r="I167" s="147" t="s">
        <v>380</v>
      </c>
      <c r="J167" s="164">
        <v>81112003</v>
      </c>
      <c r="K167" s="147" t="s">
        <v>377</v>
      </c>
      <c r="L167" s="147" t="s">
        <v>224</v>
      </c>
      <c r="M167" s="147" t="s">
        <v>520</v>
      </c>
      <c r="N167" s="147" t="s">
        <v>71</v>
      </c>
      <c r="O167" s="147" t="s">
        <v>180</v>
      </c>
      <c r="P167" s="147" t="s">
        <v>180</v>
      </c>
      <c r="Q167" s="147">
        <v>12</v>
      </c>
      <c r="R167" s="147" t="s">
        <v>72</v>
      </c>
      <c r="S167" s="147" t="s">
        <v>143</v>
      </c>
      <c r="T167" s="147" t="s">
        <v>74</v>
      </c>
      <c r="U167" s="148">
        <v>9774929</v>
      </c>
      <c r="V167" s="148">
        <v>9774929</v>
      </c>
      <c r="W167" s="147" t="s">
        <v>75</v>
      </c>
      <c r="X167" s="147" t="s">
        <v>67</v>
      </c>
      <c r="Y167" s="147" t="s">
        <v>521</v>
      </c>
      <c r="Z167" s="147" t="s">
        <v>148</v>
      </c>
      <c r="AA167" s="147">
        <v>6012220601</v>
      </c>
      <c r="AB167" s="160" t="s">
        <v>522</v>
      </c>
      <c r="AC167" s="10"/>
      <c r="AD167" s="50"/>
      <c r="AE167" s="10"/>
      <c r="AF167" s="50"/>
      <c r="AG167" s="10"/>
      <c r="AH167" s="50"/>
      <c r="AI167" s="10"/>
      <c r="AJ167" s="10"/>
      <c r="AK167" s="10"/>
      <c r="AL167" s="10"/>
      <c r="AM167" s="10"/>
      <c r="AN167" s="10"/>
      <c r="AO167" s="10"/>
      <c r="AP167" s="10"/>
      <c r="AQ167" s="10"/>
      <c r="AR167" s="10"/>
      <c r="AS167" s="10"/>
      <c r="AT167" s="10"/>
      <c r="AU167" s="53">
        <v>9774929</v>
      </c>
      <c r="AV167" s="52"/>
      <c r="AW167" s="10"/>
      <c r="AX167" s="52"/>
      <c r="AY167" s="10"/>
      <c r="AZ167" s="53">
        <v>9774929</v>
      </c>
      <c r="BA167" s="17"/>
      <c r="BB167" s="17"/>
      <c r="BC167" s="18">
        <f t="shared" ref="BC167:BD167" si="161">AC167+AE167+AG167+AI167+AK167+AM167+AO167+AQ167+AS167+AU167+AW167+AY167+BA167</f>
        <v>9774929</v>
      </c>
      <c r="BD167" s="18">
        <f t="shared" si="161"/>
        <v>9774929</v>
      </c>
      <c r="BE167" s="19">
        <f t="shared" si="1"/>
        <v>0</v>
      </c>
      <c r="BF167" s="20">
        <f t="shared" si="2"/>
        <v>0</v>
      </c>
      <c r="BG167" s="20">
        <f t="shared" si="3"/>
        <v>0</v>
      </c>
    </row>
    <row r="168" spans="1:59" ht="13.5" customHeight="1">
      <c r="A168" s="147" t="s">
        <v>59</v>
      </c>
      <c r="B168" s="147" t="s">
        <v>523</v>
      </c>
      <c r="C168" s="151" t="s">
        <v>524</v>
      </c>
      <c r="D168" s="151" t="s">
        <v>62</v>
      </c>
      <c r="E168" s="151">
        <v>46</v>
      </c>
      <c r="F168" s="149" t="s">
        <v>525</v>
      </c>
      <c r="G168" s="147" t="s">
        <v>526</v>
      </c>
      <c r="H168" s="147" t="s">
        <v>527</v>
      </c>
      <c r="I168" s="147" t="s">
        <v>528</v>
      </c>
      <c r="J168" s="164">
        <v>80111620</v>
      </c>
      <c r="K168" s="147" t="s">
        <v>529</v>
      </c>
      <c r="L168" s="147" t="s">
        <v>83</v>
      </c>
      <c r="M168" s="147" t="s">
        <v>530</v>
      </c>
      <c r="N168" s="147" t="s">
        <v>91</v>
      </c>
      <c r="O168" s="147" t="s">
        <v>91</v>
      </c>
      <c r="P168" s="165" t="s">
        <v>85</v>
      </c>
      <c r="Q168" s="147">
        <v>11</v>
      </c>
      <c r="R168" s="147" t="s">
        <v>72</v>
      </c>
      <c r="S168" s="147" t="s">
        <v>73</v>
      </c>
      <c r="T168" s="147" t="s">
        <v>74</v>
      </c>
      <c r="U168" s="148">
        <v>36464100</v>
      </c>
      <c r="V168" s="148">
        <v>36464100</v>
      </c>
      <c r="W168" s="147" t="s">
        <v>75</v>
      </c>
      <c r="X168" s="147" t="s">
        <v>67</v>
      </c>
      <c r="Y168" s="147" t="s">
        <v>531</v>
      </c>
      <c r="Z168" s="147" t="s">
        <v>532</v>
      </c>
      <c r="AA168" s="147">
        <v>6012220601</v>
      </c>
      <c r="AB168" s="160" t="s">
        <v>533</v>
      </c>
      <c r="AC168" s="14"/>
      <c r="AD168" s="57"/>
      <c r="AE168" s="14">
        <v>35750000</v>
      </c>
      <c r="AF168" s="57"/>
      <c r="AG168" s="14">
        <v>-770000</v>
      </c>
      <c r="AH168" s="57">
        <v>1980000</v>
      </c>
      <c r="AI168" s="14"/>
      <c r="AJ168" s="14">
        <v>3300000</v>
      </c>
      <c r="AK168" s="14"/>
      <c r="AL168" s="14">
        <v>3300000</v>
      </c>
      <c r="AM168" s="14"/>
      <c r="AN168" s="14">
        <v>3300000</v>
      </c>
      <c r="AO168" s="14"/>
      <c r="AP168" s="14">
        <v>3300000</v>
      </c>
      <c r="AQ168" s="14"/>
      <c r="AR168" s="14">
        <v>3300000</v>
      </c>
      <c r="AS168" s="14"/>
      <c r="AT168" s="14">
        <v>3300000</v>
      </c>
      <c r="AU168" s="58">
        <v>1484100</v>
      </c>
      <c r="AV168" s="15">
        <v>3300000</v>
      </c>
      <c r="AW168" s="58"/>
      <c r="AX168" s="15">
        <v>3794700</v>
      </c>
      <c r="AY168" s="58"/>
      <c r="AZ168" s="15">
        <v>7589400</v>
      </c>
      <c r="BA168" s="59"/>
      <c r="BB168" s="17"/>
      <c r="BC168" s="18">
        <f t="shared" ref="BC168:BD168" si="162">AC168+AE168+AG168+AI168+AK168+AM168+AO168+AQ168+AS168+AU168+AW168+AY168+BA168</f>
        <v>36464100</v>
      </c>
      <c r="BD168" s="18">
        <f t="shared" si="162"/>
        <v>36464100</v>
      </c>
      <c r="BE168" s="20">
        <f t="shared" si="1"/>
        <v>0</v>
      </c>
      <c r="BF168" s="20">
        <f t="shared" si="2"/>
        <v>0</v>
      </c>
      <c r="BG168" s="20">
        <f t="shared" si="3"/>
        <v>0</v>
      </c>
    </row>
    <row r="169" spans="1:59" ht="14.25" customHeight="1">
      <c r="A169" s="147" t="s">
        <v>59</v>
      </c>
      <c r="B169" s="147" t="s">
        <v>523</v>
      </c>
      <c r="C169" s="151" t="s">
        <v>524</v>
      </c>
      <c r="D169" s="151" t="s">
        <v>62</v>
      </c>
      <c r="E169" s="151">
        <v>6</v>
      </c>
      <c r="F169" s="149" t="s">
        <v>534</v>
      </c>
      <c r="G169" s="147" t="s">
        <v>526</v>
      </c>
      <c r="H169" s="147" t="s">
        <v>527</v>
      </c>
      <c r="I169" s="147" t="s">
        <v>528</v>
      </c>
      <c r="J169" s="164">
        <v>80111620</v>
      </c>
      <c r="K169" s="147" t="s">
        <v>529</v>
      </c>
      <c r="L169" s="147" t="s">
        <v>83</v>
      </c>
      <c r="M169" s="147" t="s">
        <v>535</v>
      </c>
      <c r="N169" s="147" t="s">
        <v>85</v>
      </c>
      <c r="O169" s="147" t="s">
        <v>85</v>
      </c>
      <c r="P169" s="165" t="s">
        <v>91</v>
      </c>
      <c r="Q169" s="147">
        <v>10</v>
      </c>
      <c r="R169" s="147" t="s">
        <v>72</v>
      </c>
      <c r="S169" s="147" t="s">
        <v>536</v>
      </c>
      <c r="T169" s="147" t="s">
        <v>74</v>
      </c>
      <c r="U169" s="148">
        <v>69284527</v>
      </c>
      <c r="V169" s="148">
        <v>69284527</v>
      </c>
      <c r="W169" s="147" t="s">
        <v>75</v>
      </c>
      <c r="X169" s="147" t="s">
        <v>67</v>
      </c>
      <c r="Y169" s="147" t="s">
        <v>531</v>
      </c>
      <c r="Z169" s="147" t="s">
        <v>532</v>
      </c>
      <c r="AA169" s="147">
        <v>6012220601</v>
      </c>
      <c r="AB169" s="160" t="s">
        <v>533</v>
      </c>
      <c r="AC169" s="14">
        <v>62606500</v>
      </c>
      <c r="AD169" s="57"/>
      <c r="AE169" s="14"/>
      <c r="AF169" s="57">
        <v>417377</v>
      </c>
      <c r="AG169" s="14"/>
      <c r="AH169" s="57">
        <v>6260650</v>
      </c>
      <c r="AI169" s="14">
        <v>6678027</v>
      </c>
      <c r="AJ169" s="14">
        <v>6260650</v>
      </c>
      <c r="AK169" s="14"/>
      <c r="AL169" s="14">
        <v>6260650</v>
      </c>
      <c r="AM169" s="14"/>
      <c r="AN169" s="14">
        <v>6260650</v>
      </c>
      <c r="AO169" s="14"/>
      <c r="AP169" s="14">
        <v>6260650</v>
      </c>
      <c r="AQ169" s="14"/>
      <c r="AR169" s="14">
        <v>6260650</v>
      </c>
      <c r="AS169" s="14"/>
      <c r="AT169" s="14">
        <v>6260650</v>
      </c>
      <c r="AU169" s="58"/>
      <c r="AV169" s="28">
        <v>6260650</v>
      </c>
      <c r="AW169" s="58"/>
      <c r="AX169" s="28">
        <v>6260650</v>
      </c>
      <c r="AY169" s="58"/>
      <c r="AZ169" s="28">
        <v>12521300</v>
      </c>
      <c r="BA169" s="59"/>
      <c r="BB169" s="17"/>
      <c r="BC169" s="18">
        <f t="shared" ref="BC169:BD169" si="163">AC169+AE169+AG169+AI169+AK169+AM169+AO169+AQ169+AS169+AU169+AW169+AY169+BA169</f>
        <v>69284527</v>
      </c>
      <c r="BD169" s="18">
        <f t="shared" si="163"/>
        <v>69284527</v>
      </c>
      <c r="BE169" s="20">
        <f t="shared" si="1"/>
        <v>0</v>
      </c>
      <c r="BF169" s="20">
        <f t="shared" si="2"/>
        <v>0</v>
      </c>
      <c r="BG169" s="20">
        <f t="shared" si="3"/>
        <v>0</v>
      </c>
    </row>
    <row r="170" spans="1:59" ht="14.25" customHeight="1">
      <c r="A170" s="147" t="s">
        <v>59</v>
      </c>
      <c r="B170" s="147" t="s">
        <v>523</v>
      </c>
      <c r="C170" s="151" t="s">
        <v>524</v>
      </c>
      <c r="D170" s="151" t="s">
        <v>62</v>
      </c>
      <c r="E170" s="151">
        <v>37</v>
      </c>
      <c r="F170" s="149" t="s">
        <v>537</v>
      </c>
      <c r="G170" s="147" t="s">
        <v>526</v>
      </c>
      <c r="H170" s="147" t="s">
        <v>527</v>
      </c>
      <c r="I170" s="147" t="s">
        <v>528</v>
      </c>
      <c r="J170" s="164">
        <v>80111620</v>
      </c>
      <c r="K170" s="147" t="s">
        <v>529</v>
      </c>
      <c r="L170" s="147" t="s">
        <v>83</v>
      </c>
      <c r="M170" s="147" t="s">
        <v>538</v>
      </c>
      <c r="N170" s="147" t="s">
        <v>91</v>
      </c>
      <c r="O170" s="147" t="s">
        <v>91</v>
      </c>
      <c r="P170" s="147" t="s">
        <v>91</v>
      </c>
      <c r="Q170" s="147">
        <v>11.3</v>
      </c>
      <c r="R170" s="147" t="s">
        <v>72</v>
      </c>
      <c r="S170" s="147" t="s">
        <v>536</v>
      </c>
      <c r="T170" s="147" t="s">
        <v>74</v>
      </c>
      <c r="U170" s="148">
        <v>101468325</v>
      </c>
      <c r="V170" s="148">
        <v>101468325</v>
      </c>
      <c r="W170" s="147" t="s">
        <v>75</v>
      </c>
      <c r="X170" s="147" t="s">
        <v>67</v>
      </c>
      <c r="Y170" s="147" t="s">
        <v>531</v>
      </c>
      <c r="Z170" s="147" t="s">
        <v>532</v>
      </c>
      <c r="AA170" s="147">
        <v>6012220601</v>
      </c>
      <c r="AB170" s="160" t="s">
        <v>533</v>
      </c>
      <c r="AC170" s="14">
        <v>92944600</v>
      </c>
      <c r="AD170" s="57"/>
      <c r="AE170" s="14"/>
      <c r="AF170" s="57">
        <v>4137000</v>
      </c>
      <c r="AG170" s="14"/>
      <c r="AH170" s="57">
        <v>8274000</v>
      </c>
      <c r="AI170" s="14">
        <v>2206400</v>
      </c>
      <c r="AJ170" s="14">
        <v>8274000</v>
      </c>
      <c r="AK170" s="14"/>
      <c r="AL170" s="14">
        <v>8274000</v>
      </c>
      <c r="AM170" s="14"/>
      <c r="AN170" s="14">
        <v>8274000</v>
      </c>
      <c r="AO170" s="14"/>
      <c r="AP170" s="14">
        <v>8274000</v>
      </c>
      <c r="AQ170" s="14">
        <v>6083350</v>
      </c>
      <c r="AR170" s="14">
        <v>8274000</v>
      </c>
      <c r="AS170" s="14"/>
      <c r="AT170" s="14">
        <v>8741950</v>
      </c>
      <c r="AU170" s="58"/>
      <c r="AV170" s="25">
        <v>9677850</v>
      </c>
      <c r="AW170" s="58"/>
      <c r="AX170" s="25">
        <v>9677850</v>
      </c>
      <c r="AY170" s="32"/>
      <c r="AZ170" s="25">
        <v>19355700</v>
      </c>
      <c r="BA170" s="60">
        <v>233975</v>
      </c>
      <c r="BB170" s="33">
        <v>233975</v>
      </c>
      <c r="BC170" s="18">
        <f t="shared" ref="BC170:BD170" si="164">AC170+AE170+AG170+AI170+AK170+AM170+AO170+AQ170+AS170+AU170+AW170+AY170+BA170</f>
        <v>101468325</v>
      </c>
      <c r="BD170" s="18">
        <f t="shared" si="164"/>
        <v>101468325</v>
      </c>
      <c r="BE170" s="20">
        <f t="shared" si="1"/>
        <v>0</v>
      </c>
      <c r="BF170" s="20">
        <f t="shared" si="2"/>
        <v>0</v>
      </c>
      <c r="BG170" s="20">
        <f t="shared" si="3"/>
        <v>0</v>
      </c>
    </row>
    <row r="171" spans="1:59" ht="14.25" customHeight="1">
      <c r="A171" s="147" t="s">
        <v>59</v>
      </c>
      <c r="B171" s="147" t="s">
        <v>523</v>
      </c>
      <c r="C171" s="151" t="s">
        <v>524</v>
      </c>
      <c r="D171" s="151" t="s">
        <v>62</v>
      </c>
      <c r="E171" s="151">
        <v>6</v>
      </c>
      <c r="F171" s="149" t="s">
        <v>539</v>
      </c>
      <c r="G171" s="147" t="s">
        <v>526</v>
      </c>
      <c r="H171" s="147" t="s">
        <v>527</v>
      </c>
      <c r="I171" s="147" t="s">
        <v>528</v>
      </c>
      <c r="J171" s="164">
        <v>80111620</v>
      </c>
      <c r="K171" s="147" t="s">
        <v>529</v>
      </c>
      <c r="L171" s="147" t="s">
        <v>83</v>
      </c>
      <c r="M171" s="147" t="s">
        <v>540</v>
      </c>
      <c r="N171" s="147" t="s">
        <v>91</v>
      </c>
      <c r="O171" s="147" t="s">
        <v>91</v>
      </c>
      <c r="P171" s="147" t="s">
        <v>91</v>
      </c>
      <c r="Q171" s="147">
        <v>11</v>
      </c>
      <c r="R171" s="147" t="s">
        <v>72</v>
      </c>
      <c r="S171" s="147" t="s">
        <v>73</v>
      </c>
      <c r="T171" s="147" t="s">
        <v>74</v>
      </c>
      <c r="U171" s="148">
        <v>91014000</v>
      </c>
      <c r="V171" s="148">
        <v>91014000</v>
      </c>
      <c r="W171" s="147" t="s">
        <v>75</v>
      </c>
      <c r="X171" s="147" t="s">
        <v>67</v>
      </c>
      <c r="Y171" s="147" t="s">
        <v>531</v>
      </c>
      <c r="Z171" s="147" t="s">
        <v>532</v>
      </c>
      <c r="AA171" s="147">
        <v>6012220601</v>
      </c>
      <c r="AB171" s="160" t="s">
        <v>533</v>
      </c>
      <c r="AC171" s="14">
        <v>91014000</v>
      </c>
      <c r="AD171" s="57"/>
      <c r="AE171" s="14"/>
      <c r="AF171" s="57"/>
      <c r="AG171" s="14"/>
      <c r="AH171" s="57">
        <v>8274000</v>
      </c>
      <c r="AI171" s="14"/>
      <c r="AJ171" s="14">
        <v>8274000</v>
      </c>
      <c r="AK171" s="14"/>
      <c r="AL171" s="14">
        <v>8274000</v>
      </c>
      <c r="AM171" s="14"/>
      <c r="AN171" s="14">
        <v>8274000</v>
      </c>
      <c r="AO171" s="14"/>
      <c r="AP171" s="14">
        <v>8274000</v>
      </c>
      <c r="AQ171" s="14"/>
      <c r="AR171" s="14">
        <v>8274000</v>
      </c>
      <c r="AS171" s="14"/>
      <c r="AT171" s="14">
        <v>8274000</v>
      </c>
      <c r="AU171" s="61"/>
      <c r="AV171" s="15">
        <v>8274000</v>
      </c>
      <c r="AW171" s="61"/>
      <c r="AX171" s="15">
        <v>8274000</v>
      </c>
      <c r="AY171" s="61"/>
      <c r="AZ171" s="15">
        <v>16548000</v>
      </c>
      <c r="BA171" s="59"/>
      <c r="BB171" s="17"/>
      <c r="BC171" s="18">
        <f t="shared" ref="BC171:BD171" si="165">AC171+AE171+AG171+AI171+AK171+AM171+AO171+AQ171+AS171+AU171+AW171+AY171+BA171</f>
        <v>91014000</v>
      </c>
      <c r="BD171" s="18">
        <f t="shared" si="165"/>
        <v>91014000</v>
      </c>
      <c r="BE171" s="20">
        <f t="shared" si="1"/>
        <v>0</v>
      </c>
      <c r="BF171" s="20">
        <f t="shared" si="2"/>
        <v>0</v>
      </c>
      <c r="BG171" s="20">
        <f t="shared" si="3"/>
        <v>0</v>
      </c>
    </row>
    <row r="172" spans="1:59" ht="14.25" customHeight="1">
      <c r="A172" s="147" t="s">
        <v>59</v>
      </c>
      <c r="B172" s="147" t="s">
        <v>523</v>
      </c>
      <c r="C172" s="151" t="s">
        <v>524</v>
      </c>
      <c r="D172" s="151" t="s">
        <v>62</v>
      </c>
      <c r="E172" s="151">
        <v>37</v>
      </c>
      <c r="F172" s="149" t="s">
        <v>541</v>
      </c>
      <c r="G172" s="147" t="s">
        <v>526</v>
      </c>
      <c r="H172" s="147" t="s">
        <v>527</v>
      </c>
      <c r="I172" s="147" t="s">
        <v>528</v>
      </c>
      <c r="J172" s="164">
        <v>80111620</v>
      </c>
      <c r="K172" s="147" t="s">
        <v>529</v>
      </c>
      <c r="L172" s="147" t="s">
        <v>83</v>
      </c>
      <c r="M172" s="147" t="s">
        <v>542</v>
      </c>
      <c r="N172" s="147" t="s">
        <v>86</v>
      </c>
      <c r="O172" s="147" t="s">
        <v>99</v>
      </c>
      <c r="P172" s="149" t="s">
        <v>99</v>
      </c>
      <c r="Q172" s="147">
        <v>11</v>
      </c>
      <c r="R172" s="147" t="s">
        <v>72</v>
      </c>
      <c r="S172" s="147" t="s">
        <v>73</v>
      </c>
      <c r="T172" s="147" t="s">
        <v>74</v>
      </c>
      <c r="U172" s="148">
        <v>73950000</v>
      </c>
      <c r="V172" s="148">
        <v>73950000</v>
      </c>
      <c r="W172" s="147" t="s">
        <v>75</v>
      </c>
      <c r="X172" s="147" t="s">
        <v>67</v>
      </c>
      <c r="Y172" s="147" t="s">
        <v>531</v>
      </c>
      <c r="Z172" s="147" t="s">
        <v>532</v>
      </c>
      <c r="AA172" s="147">
        <v>6012220601</v>
      </c>
      <c r="AB172" s="160" t="s">
        <v>533</v>
      </c>
      <c r="AC172" s="14"/>
      <c r="AD172" s="57"/>
      <c r="AE172" s="14"/>
      <c r="AF172" s="57"/>
      <c r="AG172" s="14"/>
      <c r="AH172" s="57"/>
      <c r="AI172" s="14">
        <v>74233333</v>
      </c>
      <c r="AJ172" s="14"/>
      <c r="AK172" s="14"/>
      <c r="AL172" s="14">
        <v>5950000</v>
      </c>
      <c r="AM172" s="14">
        <v>-283333</v>
      </c>
      <c r="AN172" s="14">
        <v>8500000</v>
      </c>
      <c r="AO172" s="14"/>
      <c r="AP172" s="14">
        <v>8500000</v>
      </c>
      <c r="AQ172" s="14"/>
      <c r="AR172" s="14">
        <v>8500000</v>
      </c>
      <c r="AS172" s="14"/>
      <c r="AT172" s="14">
        <v>8500000</v>
      </c>
      <c r="AU172" s="61"/>
      <c r="AV172" s="15">
        <v>8500000</v>
      </c>
      <c r="AW172" s="61"/>
      <c r="AX172" s="15">
        <v>8500000</v>
      </c>
      <c r="AY172" s="61"/>
      <c r="AZ172" s="15">
        <v>17000000</v>
      </c>
      <c r="BA172" s="59"/>
      <c r="BB172" s="17"/>
      <c r="BC172" s="18">
        <f t="shared" ref="BC172:BD172" si="166">AC172+AE172+AG172+AI172+AK172+AM172+AO172+AQ172+AS172+AU172+AW172+AY172+BA172</f>
        <v>73950000</v>
      </c>
      <c r="BD172" s="18">
        <f t="shared" si="166"/>
        <v>73950000</v>
      </c>
      <c r="BE172" s="20">
        <f t="shared" si="1"/>
        <v>0</v>
      </c>
      <c r="BF172" s="20">
        <f t="shared" si="2"/>
        <v>0</v>
      </c>
      <c r="BG172" s="20">
        <f t="shared" si="3"/>
        <v>0</v>
      </c>
    </row>
    <row r="173" spans="1:59" ht="14.25" customHeight="1">
      <c r="A173" s="147" t="s">
        <v>59</v>
      </c>
      <c r="B173" s="147" t="s">
        <v>523</v>
      </c>
      <c r="C173" s="151" t="s">
        <v>524</v>
      </c>
      <c r="D173" s="151" t="s">
        <v>62</v>
      </c>
      <c r="E173" s="151">
        <v>6</v>
      </c>
      <c r="F173" s="149" t="s">
        <v>543</v>
      </c>
      <c r="G173" s="147" t="s">
        <v>526</v>
      </c>
      <c r="H173" s="147" t="s">
        <v>527</v>
      </c>
      <c r="I173" s="147" t="s">
        <v>528</v>
      </c>
      <c r="J173" s="164">
        <v>80111620</v>
      </c>
      <c r="K173" s="147" t="s">
        <v>529</v>
      </c>
      <c r="L173" s="147" t="s">
        <v>83</v>
      </c>
      <c r="M173" s="147" t="s">
        <v>544</v>
      </c>
      <c r="N173" s="147" t="s">
        <v>91</v>
      </c>
      <c r="O173" s="147" t="s">
        <v>91</v>
      </c>
      <c r="P173" s="147" t="s">
        <v>91</v>
      </c>
      <c r="Q173" s="147">
        <v>11.5</v>
      </c>
      <c r="R173" s="147" t="s">
        <v>72</v>
      </c>
      <c r="S173" s="147" t="s">
        <v>536</v>
      </c>
      <c r="T173" s="147" t="s">
        <v>74</v>
      </c>
      <c r="U173" s="148">
        <v>112872283</v>
      </c>
      <c r="V173" s="148">
        <v>112872283</v>
      </c>
      <c r="W173" s="147" t="s">
        <v>75</v>
      </c>
      <c r="X173" s="147" t="s">
        <v>67</v>
      </c>
      <c r="Y173" s="147" t="s">
        <v>531</v>
      </c>
      <c r="Z173" s="147" t="s">
        <v>532</v>
      </c>
      <c r="AA173" s="147">
        <v>6012220601</v>
      </c>
      <c r="AB173" s="160" t="s">
        <v>533</v>
      </c>
      <c r="AC173" s="14">
        <v>110233250</v>
      </c>
      <c r="AD173" s="57"/>
      <c r="AE173" s="14"/>
      <c r="AF173" s="57">
        <v>5431783</v>
      </c>
      <c r="AG173" s="14"/>
      <c r="AH173" s="57">
        <v>9585500</v>
      </c>
      <c r="AI173" s="14">
        <v>2639033</v>
      </c>
      <c r="AJ173" s="14">
        <v>9585500</v>
      </c>
      <c r="AK173" s="14"/>
      <c r="AL173" s="14">
        <v>9585500</v>
      </c>
      <c r="AM173" s="14"/>
      <c r="AN173" s="14">
        <v>9585500</v>
      </c>
      <c r="AO173" s="14"/>
      <c r="AP173" s="14">
        <v>9585500</v>
      </c>
      <c r="AQ173" s="14"/>
      <c r="AR173" s="14">
        <v>9585500</v>
      </c>
      <c r="AS173" s="14"/>
      <c r="AT173" s="14">
        <v>9585500</v>
      </c>
      <c r="AU173" s="58"/>
      <c r="AV173" s="25">
        <v>9585500</v>
      </c>
      <c r="AW173" s="58"/>
      <c r="AX173" s="25">
        <v>9585500</v>
      </c>
      <c r="AY173" s="58"/>
      <c r="AZ173" s="25">
        <v>21171000</v>
      </c>
      <c r="BA173" s="59"/>
      <c r="BB173" s="17"/>
      <c r="BC173" s="18">
        <f t="shared" ref="BC173:BD173" si="167">AC173+AE173+AG173+AI173+AK173+AM173+AO173+AQ173+AS173+AU173+AW173+AY173+BA173</f>
        <v>112872283</v>
      </c>
      <c r="BD173" s="18">
        <f t="shared" si="167"/>
        <v>112872283</v>
      </c>
      <c r="BE173" s="20">
        <f t="shared" si="1"/>
        <v>0</v>
      </c>
      <c r="BF173" s="20">
        <f t="shared" si="2"/>
        <v>0</v>
      </c>
      <c r="BG173" s="20">
        <f t="shared" si="3"/>
        <v>0</v>
      </c>
    </row>
    <row r="174" spans="1:59" ht="14.25" customHeight="1">
      <c r="A174" s="147" t="s">
        <v>59</v>
      </c>
      <c r="B174" s="147" t="s">
        <v>523</v>
      </c>
      <c r="C174" s="151" t="s">
        <v>524</v>
      </c>
      <c r="D174" s="151" t="s">
        <v>62</v>
      </c>
      <c r="E174" s="151">
        <v>42</v>
      </c>
      <c r="F174" s="149" t="s">
        <v>545</v>
      </c>
      <c r="G174" s="147" t="s">
        <v>526</v>
      </c>
      <c r="H174" s="147" t="s">
        <v>527</v>
      </c>
      <c r="I174" s="147" t="s">
        <v>528</v>
      </c>
      <c r="J174" s="164">
        <v>80111620</v>
      </c>
      <c r="K174" s="147" t="s">
        <v>529</v>
      </c>
      <c r="L174" s="147" t="s">
        <v>83</v>
      </c>
      <c r="M174" s="147" t="s">
        <v>546</v>
      </c>
      <c r="N174" s="147" t="s">
        <v>85</v>
      </c>
      <c r="O174" s="147" t="s">
        <v>85</v>
      </c>
      <c r="P174" s="147" t="s">
        <v>85</v>
      </c>
      <c r="Q174" s="147">
        <v>8</v>
      </c>
      <c r="R174" s="147" t="s">
        <v>72</v>
      </c>
      <c r="S174" s="147" t="s">
        <v>73</v>
      </c>
      <c r="T174" s="147" t="s">
        <v>74</v>
      </c>
      <c r="U174" s="189">
        <v>77962500</v>
      </c>
      <c r="V174" s="189">
        <v>77962500</v>
      </c>
      <c r="W174" s="147" t="s">
        <v>75</v>
      </c>
      <c r="X174" s="147" t="s">
        <v>67</v>
      </c>
      <c r="Y174" s="147" t="s">
        <v>531</v>
      </c>
      <c r="Z174" s="147" t="s">
        <v>532</v>
      </c>
      <c r="AA174" s="147">
        <v>6012220601</v>
      </c>
      <c r="AB174" s="160" t="s">
        <v>533</v>
      </c>
      <c r="AC174" s="14">
        <v>56700000</v>
      </c>
      <c r="AD174" s="57"/>
      <c r="AE174" s="14"/>
      <c r="AF174" s="57"/>
      <c r="AG174" s="14"/>
      <c r="AH174" s="57">
        <v>7087500</v>
      </c>
      <c r="AI174" s="14"/>
      <c r="AJ174" s="14">
        <v>7087500</v>
      </c>
      <c r="AK174" s="14"/>
      <c r="AL174" s="14">
        <v>7087500</v>
      </c>
      <c r="AM174" s="14"/>
      <c r="AN174" s="14">
        <v>7087500</v>
      </c>
      <c r="AO174" s="14"/>
      <c r="AP174" s="14">
        <v>7087500</v>
      </c>
      <c r="AQ174" s="14"/>
      <c r="AR174" s="14">
        <v>7087500</v>
      </c>
      <c r="AS174" s="14">
        <v>21262500</v>
      </c>
      <c r="AT174" s="14">
        <v>7087500</v>
      </c>
      <c r="AU174" s="32"/>
      <c r="AV174" s="28">
        <v>7087500</v>
      </c>
      <c r="AW174" s="58"/>
      <c r="AX174" s="25">
        <v>7087500</v>
      </c>
      <c r="AY174" s="58"/>
      <c r="AZ174" s="25">
        <v>14175000</v>
      </c>
      <c r="BA174" s="59"/>
      <c r="BB174" s="17"/>
      <c r="BC174" s="18">
        <f t="shared" ref="BC174:BD174" si="168">AC174+AE174+AG174+AI174+AK174+AM174+AO174+AQ174+AS174+AU174+AW174+AY174+BA174</f>
        <v>77962500</v>
      </c>
      <c r="BD174" s="18">
        <f t="shared" si="168"/>
        <v>77962500</v>
      </c>
      <c r="BE174" s="20">
        <f t="shared" si="1"/>
        <v>0</v>
      </c>
      <c r="BF174" s="20">
        <f t="shared" si="2"/>
        <v>0</v>
      </c>
      <c r="BG174" s="20">
        <f t="shared" si="3"/>
        <v>0</v>
      </c>
    </row>
    <row r="175" spans="1:59" ht="14.25" customHeight="1">
      <c r="A175" s="147" t="s">
        <v>59</v>
      </c>
      <c r="B175" s="147" t="s">
        <v>523</v>
      </c>
      <c r="C175" s="151" t="s">
        <v>524</v>
      </c>
      <c r="D175" s="151" t="s">
        <v>62</v>
      </c>
      <c r="E175" s="151">
        <v>6</v>
      </c>
      <c r="F175" s="149" t="s">
        <v>547</v>
      </c>
      <c r="G175" s="147" t="s">
        <v>526</v>
      </c>
      <c r="H175" s="147" t="s">
        <v>527</v>
      </c>
      <c r="I175" s="147" t="s">
        <v>528</v>
      </c>
      <c r="J175" s="164">
        <v>80111620</v>
      </c>
      <c r="K175" s="147" t="s">
        <v>529</v>
      </c>
      <c r="L175" s="147" t="s">
        <v>83</v>
      </c>
      <c r="M175" s="147" t="s">
        <v>548</v>
      </c>
      <c r="N175" s="147" t="s">
        <v>85</v>
      </c>
      <c r="O175" s="147" t="s">
        <v>85</v>
      </c>
      <c r="P175" s="165" t="s">
        <v>91</v>
      </c>
      <c r="Q175" s="147">
        <v>11</v>
      </c>
      <c r="R175" s="147" t="s">
        <v>72</v>
      </c>
      <c r="S175" s="147" t="s">
        <v>536</v>
      </c>
      <c r="T175" s="147" t="s">
        <v>74</v>
      </c>
      <c r="U175" s="148">
        <v>37393767</v>
      </c>
      <c r="V175" s="148">
        <v>37393767</v>
      </c>
      <c r="W175" s="147" t="s">
        <v>75</v>
      </c>
      <c r="X175" s="147" t="s">
        <v>67</v>
      </c>
      <c r="Y175" s="147" t="s">
        <v>531</v>
      </c>
      <c r="Z175" s="147" t="s">
        <v>532</v>
      </c>
      <c r="AA175" s="147">
        <v>6012220601</v>
      </c>
      <c r="AB175" s="160" t="s">
        <v>533</v>
      </c>
      <c r="AC175" s="14">
        <v>36293950</v>
      </c>
      <c r="AD175" s="57"/>
      <c r="AE175" s="14"/>
      <c r="AF175" s="57">
        <v>1099817</v>
      </c>
      <c r="AG175" s="14"/>
      <c r="AH175" s="57">
        <v>3299450</v>
      </c>
      <c r="AI175" s="14">
        <v>1099817</v>
      </c>
      <c r="AJ175" s="14">
        <v>3299450</v>
      </c>
      <c r="AK175" s="14"/>
      <c r="AL175" s="14">
        <v>3299450</v>
      </c>
      <c r="AM175" s="14"/>
      <c r="AN175" s="14">
        <v>3299450</v>
      </c>
      <c r="AO175" s="14"/>
      <c r="AP175" s="14">
        <v>3299450</v>
      </c>
      <c r="AQ175" s="14"/>
      <c r="AR175" s="14">
        <v>3299450</v>
      </c>
      <c r="AS175" s="14"/>
      <c r="AT175" s="14">
        <v>3299450</v>
      </c>
      <c r="AU175" s="58"/>
      <c r="AV175" s="25">
        <v>3299450</v>
      </c>
      <c r="AW175" s="58"/>
      <c r="AX175" s="25">
        <v>3299450</v>
      </c>
      <c r="AY175" s="58"/>
      <c r="AZ175" s="28">
        <v>6598900</v>
      </c>
      <c r="BA175" s="59"/>
      <c r="BB175" s="17"/>
      <c r="BC175" s="18">
        <f t="shared" ref="BC175:BD175" si="169">AC175+AE175+AG175+AI175+AK175+AM175+AO175+AQ175+AS175+AU175+AW175+AY175+BA175</f>
        <v>37393767</v>
      </c>
      <c r="BD175" s="18">
        <f t="shared" si="169"/>
        <v>37393767</v>
      </c>
      <c r="BE175" s="20">
        <f t="shared" si="1"/>
        <v>0</v>
      </c>
      <c r="BF175" s="20">
        <f t="shared" si="2"/>
        <v>0</v>
      </c>
      <c r="BG175" s="20">
        <f t="shared" si="3"/>
        <v>0</v>
      </c>
    </row>
    <row r="176" spans="1:59" ht="14.25" customHeight="1">
      <c r="A176" s="147" t="s">
        <v>59</v>
      </c>
      <c r="B176" s="147" t="s">
        <v>523</v>
      </c>
      <c r="C176" s="151" t="s">
        <v>524</v>
      </c>
      <c r="D176" s="151" t="s">
        <v>62</v>
      </c>
      <c r="E176" s="151">
        <v>6</v>
      </c>
      <c r="F176" s="149" t="s">
        <v>549</v>
      </c>
      <c r="G176" s="147" t="s">
        <v>526</v>
      </c>
      <c r="H176" s="147" t="s">
        <v>527</v>
      </c>
      <c r="I176" s="147" t="s">
        <v>528</v>
      </c>
      <c r="J176" s="164">
        <v>80111620</v>
      </c>
      <c r="K176" s="147" t="s">
        <v>529</v>
      </c>
      <c r="L176" s="147" t="s">
        <v>83</v>
      </c>
      <c r="M176" s="147" t="s">
        <v>550</v>
      </c>
      <c r="N176" s="147" t="s">
        <v>85</v>
      </c>
      <c r="O176" s="147" t="s">
        <v>85</v>
      </c>
      <c r="P176" s="165" t="s">
        <v>91</v>
      </c>
      <c r="Q176" s="147">
        <v>11</v>
      </c>
      <c r="R176" s="147" t="s">
        <v>72</v>
      </c>
      <c r="S176" s="147" t="s">
        <v>536</v>
      </c>
      <c r="T176" s="147" t="s">
        <v>74</v>
      </c>
      <c r="U176" s="148">
        <v>69264000</v>
      </c>
      <c r="V176" s="148">
        <v>69264000</v>
      </c>
      <c r="W176" s="147" t="s">
        <v>75</v>
      </c>
      <c r="X176" s="147" t="s">
        <v>67</v>
      </c>
      <c r="Y176" s="147" t="s">
        <v>531</v>
      </c>
      <c r="Z176" s="147" t="s">
        <v>532</v>
      </c>
      <c r="AA176" s="147">
        <v>6012220601</v>
      </c>
      <c r="AB176" s="160" t="s">
        <v>533</v>
      </c>
      <c r="AC176" s="14">
        <v>68640000</v>
      </c>
      <c r="AD176" s="57"/>
      <c r="AE176" s="14"/>
      <c r="AF176" s="57">
        <v>624000</v>
      </c>
      <c r="AG176" s="14"/>
      <c r="AH176" s="57">
        <v>6240000</v>
      </c>
      <c r="AI176" s="14">
        <v>624000</v>
      </c>
      <c r="AJ176" s="14">
        <v>6240000</v>
      </c>
      <c r="AK176" s="14"/>
      <c r="AL176" s="14">
        <v>6240000</v>
      </c>
      <c r="AM176" s="14"/>
      <c r="AN176" s="14">
        <v>6240000</v>
      </c>
      <c r="AO176" s="14"/>
      <c r="AP176" s="14">
        <v>6240000</v>
      </c>
      <c r="AQ176" s="14"/>
      <c r="AR176" s="14">
        <v>6240000</v>
      </c>
      <c r="AS176" s="14"/>
      <c r="AT176" s="14">
        <v>6240000</v>
      </c>
      <c r="AU176" s="58"/>
      <c r="AV176" s="25">
        <v>6240000</v>
      </c>
      <c r="AW176" s="58"/>
      <c r="AX176" s="25">
        <v>6240000</v>
      </c>
      <c r="AY176" s="58"/>
      <c r="AZ176" s="25">
        <v>12480000</v>
      </c>
      <c r="BA176" s="59"/>
      <c r="BB176" s="17"/>
      <c r="BC176" s="18">
        <f t="shared" ref="BC176:BD176" si="170">AC176+AE176+AG176+AI176+AK176+AM176+AO176+AQ176+AS176+AU176+AW176+AY176+BA176</f>
        <v>69264000</v>
      </c>
      <c r="BD176" s="18">
        <f t="shared" si="170"/>
        <v>69264000</v>
      </c>
      <c r="BE176" s="20">
        <f t="shared" si="1"/>
        <v>0</v>
      </c>
      <c r="BF176" s="20">
        <f t="shared" si="2"/>
        <v>0</v>
      </c>
      <c r="BG176" s="20">
        <f t="shared" si="3"/>
        <v>0</v>
      </c>
    </row>
    <row r="177" spans="1:59" ht="15.75" customHeight="1">
      <c r="A177" s="147" t="s">
        <v>59</v>
      </c>
      <c r="B177" s="147" t="s">
        <v>523</v>
      </c>
      <c r="C177" s="151" t="s">
        <v>524</v>
      </c>
      <c r="D177" s="151" t="s">
        <v>62</v>
      </c>
      <c r="E177" s="151" t="s">
        <v>114</v>
      </c>
      <c r="F177" s="149" t="s">
        <v>551</v>
      </c>
      <c r="G177" s="147" t="s">
        <v>526</v>
      </c>
      <c r="H177" s="147" t="s">
        <v>527</v>
      </c>
      <c r="I177" s="147" t="s">
        <v>528</v>
      </c>
      <c r="J177" s="164" t="s">
        <v>67</v>
      </c>
      <c r="K177" s="147" t="s">
        <v>529</v>
      </c>
      <c r="L177" s="147" t="s">
        <v>275</v>
      </c>
      <c r="M177" s="147" t="s">
        <v>552</v>
      </c>
      <c r="N177" s="147" t="s">
        <v>85</v>
      </c>
      <c r="O177" s="147" t="s">
        <v>85</v>
      </c>
      <c r="P177" s="147" t="s">
        <v>85</v>
      </c>
      <c r="Q177" s="147">
        <v>11</v>
      </c>
      <c r="R177" s="147" t="s">
        <v>72</v>
      </c>
      <c r="S177" s="147" t="s">
        <v>536</v>
      </c>
      <c r="T177" s="147" t="s">
        <v>74</v>
      </c>
      <c r="U177" s="148">
        <v>38930100</v>
      </c>
      <c r="V177" s="148">
        <v>38930100</v>
      </c>
      <c r="W177" s="147" t="s">
        <v>75</v>
      </c>
      <c r="X177" s="147" t="s">
        <v>67</v>
      </c>
      <c r="Y177" s="147" t="s">
        <v>531</v>
      </c>
      <c r="Z177" s="147" t="s">
        <v>532</v>
      </c>
      <c r="AA177" s="147">
        <v>6012220601</v>
      </c>
      <c r="AB177" s="160" t="s">
        <v>533</v>
      </c>
      <c r="AC177" s="62">
        <v>1685912.4</v>
      </c>
      <c r="AD177" s="57">
        <v>1685912.4</v>
      </c>
      <c r="AE177" s="14">
        <v>659246</v>
      </c>
      <c r="AF177" s="57">
        <v>659246</v>
      </c>
      <c r="AG177" s="14">
        <v>1719952</v>
      </c>
      <c r="AH177" s="63">
        <v>1719952</v>
      </c>
      <c r="AI177" s="14">
        <v>1358062</v>
      </c>
      <c r="AJ177" s="14">
        <v>582037</v>
      </c>
      <c r="AK177" s="14">
        <v>9454774</v>
      </c>
      <c r="AL177" s="14">
        <v>9735124</v>
      </c>
      <c r="AM177" s="14">
        <v>542037</v>
      </c>
      <c r="AN177" s="14">
        <v>1037712</v>
      </c>
      <c r="AO177" s="14">
        <v>4866193</v>
      </c>
      <c r="AP177" s="14">
        <v>4614800</v>
      </c>
      <c r="AQ177" s="14">
        <v>1151328</v>
      </c>
      <c r="AR177" s="14"/>
      <c r="AS177" s="14">
        <v>2437963</v>
      </c>
      <c r="AT177" s="14">
        <v>3589291</v>
      </c>
      <c r="AU177" s="32">
        <v>2000000</v>
      </c>
      <c r="AV177" s="28">
        <v>2000000</v>
      </c>
      <c r="AW177" s="32">
        <v>2000000</v>
      </c>
      <c r="AX177" s="28">
        <v>2000000</v>
      </c>
      <c r="AY177" s="32">
        <v>4000000</v>
      </c>
      <c r="AZ177" s="28">
        <f>4000000+251393</f>
        <v>4251393</v>
      </c>
      <c r="BA177" s="60">
        <v>7054632.5999999996</v>
      </c>
      <c r="BB177" s="17">
        <v>7054632.5999999996</v>
      </c>
      <c r="BC177" s="18">
        <f t="shared" ref="BC177:BD177" si="171">AC177+AE177+AG177+AI177+AK177+AM177+AO177+AQ177+AS177+AU177+AW177+AY177+BA177</f>
        <v>38930100</v>
      </c>
      <c r="BD177" s="18">
        <f t="shared" si="171"/>
        <v>38930100</v>
      </c>
      <c r="BE177" s="20">
        <f t="shared" si="1"/>
        <v>0</v>
      </c>
      <c r="BF177" s="20">
        <f t="shared" si="2"/>
        <v>0</v>
      </c>
      <c r="BG177" s="20">
        <f t="shared" si="3"/>
        <v>0</v>
      </c>
    </row>
    <row r="178" spans="1:59" ht="14.25" customHeight="1">
      <c r="A178" s="147" t="s">
        <v>59</v>
      </c>
      <c r="B178" s="147" t="s">
        <v>523</v>
      </c>
      <c r="C178" s="151" t="s">
        <v>524</v>
      </c>
      <c r="D178" s="151" t="s">
        <v>62</v>
      </c>
      <c r="E178" s="151">
        <v>6</v>
      </c>
      <c r="F178" s="149" t="s">
        <v>553</v>
      </c>
      <c r="G178" s="147" t="s">
        <v>526</v>
      </c>
      <c r="H178" s="147" t="s">
        <v>527</v>
      </c>
      <c r="I178" s="147" t="s">
        <v>528</v>
      </c>
      <c r="J178" s="164">
        <v>80111620</v>
      </c>
      <c r="K178" s="147" t="s">
        <v>529</v>
      </c>
      <c r="L178" s="147" t="s">
        <v>83</v>
      </c>
      <c r="M178" s="147" t="s">
        <v>554</v>
      </c>
      <c r="N178" s="147" t="s">
        <v>91</v>
      </c>
      <c r="O178" s="147" t="s">
        <v>91</v>
      </c>
      <c r="P178" s="147" t="s">
        <v>91</v>
      </c>
      <c r="Q178" s="147">
        <v>11.5</v>
      </c>
      <c r="R178" s="147" t="s">
        <v>72</v>
      </c>
      <c r="S178" s="147" t="s">
        <v>536</v>
      </c>
      <c r="T178" s="147" t="s">
        <v>74</v>
      </c>
      <c r="U178" s="148">
        <v>104264550</v>
      </c>
      <c r="V178" s="148">
        <v>104264550</v>
      </c>
      <c r="W178" s="147" t="s">
        <v>75</v>
      </c>
      <c r="X178" s="147" t="s">
        <v>67</v>
      </c>
      <c r="Y178" s="147" t="s">
        <v>531</v>
      </c>
      <c r="Z178" s="147" t="s">
        <v>532</v>
      </c>
      <c r="AA178" s="147">
        <v>6012220601</v>
      </c>
      <c r="AB178" s="160" t="s">
        <v>533</v>
      </c>
      <c r="AC178" s="14">
        <v>102482250</v>
      </c>
      <c r="AD178" s="57"/>
      <c r="AE178" s="14"/>
      <c r="AF178" s="57">
        <v>6238050</v>
      </c>
      <c r="AG178" s="14"/>
      <c r="AH178" s="57">
        <v>8911500</v>
      </c>
      <c r="AI178" s="14">
        <v>1782300</v>
      </c>
      <c r="AJ178" s="14">
        <v>8911500</v>
      </c>
      <c r="AK178" s="14"/>
      <c r="AL178" s="14">
        <v>8911500</v>
      </c>
      <c r="AM178" s="14"/>
      <c r="AN178" s="14">
        <v>8911500</v>
      </c>
      <c r="AO178" s="14"/>
      <c r="AP178" s="14">
        <v>8911500</v>
      </c>
      <c r="AQ178" s="14"/>
      <c r="AR178" s="14">
        <v>8911500</v>
      </c>
      <c r="AS178" s="14"/>
      <c r="AT178" s="14">
        <v>8911500</v>
      </c>
      <c r="AU178" s="58"/>
      <c r="AV178" s="25">
        <v>8911500</v>
      </c>
      <c r="AW178" s="58"/>
      <c r="AX178" s="25">
        <v>8911500</v>
      </c>
      <c r="AY178" s="58"/>
      <c r="AZ178" s="25">
        <v>17823000</v>
      </c>
      <c r="BA178" s="59"/>
      <c r="BB178" s="17"/>
      <c r="BC178" s="18">
        <f t="shared" ref="BC178:BD178" si="172">AC178+AE178+AG178+AI178+AK178+AM178+AO178+AQ178+AS178+AU178+AW178+AY178+BA178</f>
        <v>104264550</v>
      </c>
      <c r="BD178" s="18">
        <f t="shared" si="172"/>
        <v>104264550</v>
      </c>
      <c r="BE178" s="20">
        <f t="shared" si="1"/>
        <v>0</v>
      </c>
      <c r="BF178" s="20">
        <f t="shared" si="2"/>
        <v>0</v>
      </c>
      <c r="BG178" s="20">
        <f t="shared" si="3"/>
        <v>0</v>
      </c>
    </row>
    <row r="179" spans="1:59" ht="14.25" customHeight="1">
      <c r="A179" s="147" t="s">
        <v>59</v>
      </c>
      <c r="B179" s="147" t="s">
        <v>523</v>
      </c>
      <c r="C179" s="151" t="s">
        <v>524</v>
      </c>
      <c r="D179" s="151" t="s">
        <v>62</v>
      </c>
      <c r="E179" s="151">
        <v>6</v>
      </c>
      <c r="F179" s="149" t="s">
        <v>555</v>
      </c>
      <c r="G179" s="147" t="s">
        <v>526</v>
      </c>
      <c r="H179" s="147" t="s">
        <v>527</v>
      </c>
      <c r="I179" s="147" t="s">
        <v>528</v>
      </c>
      <c r="J179" s="164">
        <v>80111620</v>
      </c>
      <c r="K179" s="147" t="s">
        <v>529</v>
      </c>
      <c r="L179" s="147" t="s">
        <v>83</v>
      </c>
      <c r="M179" s="147" t="s">
        <v>556</v>
      </c>
      <c r="N179" s="147" t="s">
        <v>91</v>
      </c>
      <c r="O179" s="147" t="s">
        <v>91</v>
      </c>
      <c r="P179" s="147" t="s">
        <v>91</v>
      </c>
      <c r="Q179" s="147">
        <v>11.3</v>
      </c>
      <c r="R179" s="147" t="s">
        <v>72</v>
      </c>
      <c r="S179" s="147" t="s">
        <v>536</v>
      </c>
      <c r="T179" s="147" t="s">
        <v>74</v>
      </c>
      <c r="U179" s="148">
        <v>137060867</v>
      </c>
      <c r="V179" s="148">
        <v>137060867</v>
      </c>
      <c r="W179" s="147" t="s">
        <v>75</v>
      </c>
      <c r="X179" s="147" t="s">
        <v>67</v>
      </c>
      <c r="Y179" s="147" t="s">
        <v>531</v>
      </c>
      <c r="Z179" s="147" t="s">
        <v>532</v>
      </c>
      <c r="AA179" s="147">
        <v>6012220601</v>
      </c>
      <c r="AB179" s="160" t="s">
        <v>533</v>
      </c>
      <c r="AC179" s="14">
        <v>132866056</v>
      </c>
      <c r="AD179" s="57"/>
      <c r="AE179" s="14"/>
      <c r="AF179" s="57">
        <v>3831485</v>
      </c>
      <c r="AG179" s="14"/>
      <c r="AH179" s="57">
        <v>11844456</v>
      </c>
      <c r="AI179" s="14">
        <v>4194811</v>
      </c>
      <c r="AJ179" s="14">
        <v>11844456</v>
      </c>
      <c r="AK179" s="14"/>
      <c r="AL179" s="14">
        <v>11844456</v>
      </c>
      <c r="AM179" s="14"/>
      <c r="AN179" s="14">
        <v>13574928</v>
      </c>
      <c r="AO179" s="14"/>
      <c r="AP179" s="14">
        <v>11844456</v>
      </c>
      <c r="AQ179" s="14"/>
      <c r="AR179" s="14">
        <v>11844456</v>
      </c>
      <c r="AS179" s="14"/>
      <c r="AT179" s="14">
        <v>11844456</v>
      </c>
      <c r="AU179" s="58"/>
      <c r="AV179" s="14">
        <v>11844456</v>
      </c>
      <c r="AW179" s="58"/>
      <c r="AX179" s="14">
        <v>11844456</v>
      </c>
      <c r="AY179" s="58"/>
      <c r="AZ179" s="14">
        <f>(11844456*2)+1209894</f>
        <v>24898806</v>
      </c>
      <c r="BA179" s="59"/>
      <c r="BB179" s="17"/>
      <c r="BC179" s="18">
        <f t="shared" ref="BC179:BD179" si="173">AC179+AE179+AG179+AI179+AK179+AM179+AO179+AQ179+AS179+AU179+AW179+AY179+BA179</f>
        <v>137060867</v>
      </c>
      <c r="BD179" s="18">
        <f t="shared" si="173"/>
        <v>137060867</v>
      </c>
      <c r="BE179" s="20">
        <f t="shared" si="1"/>
        <v>0</v>
      </c>
      <c r="BF179" s="20">
        <f t="shared" si="2"/>
        <v>0</v>
      </c>
      <c r="BG179" s="20">
        <f t="shared" si="3"/>
        <v>0</v>
      </c>
    </row>
    <row r="180" spans="1:59" ht="14.25" customHeight="1">
      <c r="A180" s="147" t="s">
        <v>59</v>
      </c>
      <c r="B180" s="147" t="s">
        <v>523</v>
      </c>
      <c r="C180" s="151" t="s">
        <v>524</v>
      </c>
      <c r="D180" s="151" t="s">
        <v>62</v>
      </c>
      <c r="E180" s="151">
        <v>15</v>
      </c>
      <c r="F180" s="149" t="s">
        <v>557</v>
      </c>
      <c r="G180" s="147" t="s">
        <v>526</v>
      </c>
      <c r="H180" s="147" t="s">
        <v>527</v>
      </c>
      <c r="I180" s="147" t="s">
        <v>528</v>
      </c>
      <c r="J180" s="164">
        <v>80111620</v>
      </c>
      <c r="K180" s="147" t="s">
        <v>529</v>
      </c>
      <c r="L180" s="147" t="s">
        <v>83</v>
      </c>
      <c r="M180" s="147" t="s">
        <v>558</v>
      </c>
      <c r="N180" s="147" t="s">
        <v>91</v>
      </c>
      <c r="O180" s="147" t="s">
        <v>91</v>
      </c>
      <c r="P180" s="147" t="s">
        <v>91</v>
      </c>
      <c r="Q180" s="147">
        <v>11</v>
      </c>
      <c r="R180" s="147" t="s">
        <v>72</v>
      </c>
      <c r="S180" s="147" t="s">
        <v>73</v>
      </c>
      <c r="T180" s="147" t="s">
        <v>74</v>
      </c>
      <c r="U180" s="148">
        <v>39561500</v>
      </c>
      <c r="V180" s="148">
        <v>39561500</v>
      </c>
      <c r="W180" s="147" t="s">
        <v>75</v>
      </c>
      <c r="X180" s="147" t="s">
        <v>67</v>
      </c>
      <c r="Y180" s="147" t="s">
        <v>531</v>
      </c>
      <c r="Z180" s="147" t="s">
        <v>532</v>
      </c>
      <c r="AA180" s="147">
        <v>6012220601</v>
      </c>
      <c r="AB180" s="160" t="s">
        <v>533</v>
      </c>
      <c r="AC180" s="14">
        <v>39801267</v>
      </c>
      <c r="AD180" s="57"/>
      <c r="AE180" s="14"/>
      <c r="AF180" s="57"/>
      <c r="AG180" s="14">
        <v>-239767</v>
      </c>
      <c r="AH180" s="57">
        <v>3596500</v>
      </c>
      <c r="AI180" s="14"/>
      <c r="AJ180" s="14">
        <v>3596500</v>
      </c>
      <c r="AK180" s="14"/>
      <c r="AL180" s="14">
        <v>3596500</v>
      </c>
      <c r="AM180" s="14"/>
      <c r="AN180" s="14">
        <v>3596500</v>
      </c>
      <c r="AO180" s="14"/>
      <c r="AP180" s="14">
        <v>3596500</v>
      </c>
      <c r="AQ180" s="14"/>
      <c r="AR180" s="14">
        <v>3596500</v>
      </c>
      <c r="AS180" s="14"/>
      <c r="AT180" s="14">
        <v>3596500</v>
      </c>
      <c r="AU180" s="58"/>
      <c r="AV180" s="15">
        <v>3596500</v>
      </c>
      <c r="AW180" s="58"/>
      <c r="AX180" s="15">
        <v>3596500</v>
      </c>
      <c r="AY180" s="58"/>
      <c r="AZ180" s="15">
        <v>7193000</v>
      </c>
      <c r="BA180" s="59"/>
      <c r="BB180" s="17"/>
      <c r="BC180" s="18">
        <f t="shared" ref="BC180:BD180" si="174">AC180+AE180+AG180+AI180+AK180+AM180+AO180+AQ180+AS180+AU180+AW180+AY180+BA180</f>
        <v>39561500</v>
      </c>
      <c r="BD180" s="18">
        <f t="shared" si="174"/>
        <v>39561500</v>
      </c>
      <c r="BE180" s="20">
        <f t="shared" si="1"/>
        <v>0</v>
      </c>
      <c r="BF180" s="20">
        <f t="shared" si="2"/>
        <v>0</v>
      </c>
      <c r="BG180" s="20">
        <f t="shared" si="3"/>
        <v>0</v>
      </c>
    </row>
    <row r="181" spans="1:59" ht="15.75" customHeight="1">
      <c r="A181" s="147" t="s">
        <v>59</v>
      </c>
      <c r="B181" s="147" t="s">
        <v>523</v>
      </c>
      <c r="C181" s="151" t="s">
        <v>524</v>
      </c>
      <c r="D181" s="151" t="s">
        <v>62</v>
      </c>
      <c r="E181" s="151">
        <v>6</v>
      </c>
      <c r="F181" s="149" t="s">
        <v>559</v>
      </c>
      <c r="G181" s="147" t="s">
        <v>526</v>
      </c>
      <c r="H181" s="147" t="s">
        <v>527</v>
      </c>
      <c r="I181" s="147" t="s">
        <v>528</v>
      </c>
      <c r="J181" s="164">
        <v>80111620</v>
      </c>
      <c r="K181" s="147" t="s">
        <v>529</v>
      </c>
      <c r="L181" s="147" t="s">
        <v>83</v>
      </c>
      <c r="M181" s="147" t="s">
        <v>560</v>
      </c>
      <c r="N181" s="147" t="s">
        <v>91</v>
      </c>
      <c r="O181" s="147" t="s">
        <v>91</v>
      </c>
      <c r="P181" s="147" t="s">
        <v>91</v>
      </c>
      <c r="Q181" s="147">
        <v>11.5</v>
      </c>
      <c r="R181" s="147" t="s">
        <v>72</v>
      </c>
      <c r="S181" s="147" t="s">
        <v>536</v>
      </c>
      <c r="T181" s="147" t="s">
        <v>74</v>
      </c>
      <c r="U181" s="148">
        <v>28509520</v>
      </c>
      <c r="V181" s="148">
        <v>28509520</v>
      </c>
      <c r="W181" s="147" t="s">
        <v>75</v>
      </c>
      <c r="X181" s="147" t="s">
        <v>67</v>
      </c>
      <c r="Y181" s="147" t="s">
        <v>531</v>
      </c>
      <c r="Z181" s="147" t="s">
        <v>532</v>
      </c>
      <c r="AA181" s="147">
        <v>6012220601</v>
      </c>
      <c r="AB181" s="160" t="s">
        <v>533</v>
      </c>
      <c r="AC181" s="14">
        <v>28345200</v>
      </c>
      <c r="AD181" s="57"/>
      <c r="AE181" s="14"/>
      <c r="AF181" s="57">
        <v>1396720</v>
      </c>
      <c r="AG181" s="14"/>
      <c r="AH181" s="57">
        <v>2464800</v>
      </c>
      <c r="AI181" s="14">
        <v>164320</v>
      </c>
      <c r="AJ181" s="14">
        <v>2464800</v>
      </c>
      <c r="AK181" s="14"/>
      <c r="AL181" s="14">
        <v>2464800</v>
      </c>
      <c r="AM181" s="14"/>
      <c r="AN181" s="14">
        <v>2464800</v>
      </c>
      <c r="AO181" s="14"/>
      <c r="AP181" s="14">
        <v>2464800</v>
      </c>
      <c r="AQ181" s="14"/>
      <c r="AR181" s="14">
        <v>2464800</v>
      </c>
      <c r="AS181" s="14"/>
      <c r="AT181" s="14">
        <v>2464800</v>
      </c>
      <c r="AU181" s="58"/>
      <c r="AV181" s="25">
        <v>2464800</v>
      </c>
      <c r="AW181" s="58"/>
      <c r="AX181" s="25">
        <v>2464800</v>
      </c>
      <c r="AY181" s="58"/>
      <c r="AZ181" s="25">
        <v>4929600</v>
      </c>
      <c r="BA181" s="59"/>
      <c r="BB181" s="17"/>
      <c r="BC181" s="18">
        <f t="shared" ref="BC181:BD181" si="175">AC181+AE181+AG181+AI181+AK181+AM181+AO181+AQ181+AS181+AU181+AW181+AY181+BA181</f>
        <v>28509520</v>
      </c>
      <c r="BD181" s="18">
        <f t="shared" si="175"/>
        <v>28509520</v>
      </c>
      <c r="BE181" s="20">
        <f t="shared" si="1"/>
        <v>0</v>
      </c>
      <c r="BF181" s="20">
        <f t="shared" si="2"/>
        <v>0</v>
      </c>
      <c r="BG181" s="20">
        <f t="shared" si="3"/>
        <v>0</v>
      </c>
    </row>
    <row r="182" spans="1:59" ht="14.25" customHeight="1">
      <c r="A182" s="147" t="s">
        <v>59</v>
      </c>
      <c r="B182" s="147" t="s">
        <v>523</v>
      </c>
      <c r="C182" s="151" t="s">
        <v>524</v>
      </c>
      <c r="D182" s="151" t="s">
        <v>62</v>
      </c>
      <c r="E182" s="151">
        <v>2</v>
      </c>
      <c r="F182" s="149" t="s">
        <v>561</v>
      </c>
      <c r="G182" s="147" t="s">
        <v>526</v>
      </c>
      <c r="H182" s="147" t="s">
        <v>527</v>
      </c>
      <c r="I182" s="147" t="s">
        <v>528</v>
      </c>
      <c r="J182" s="164">
        <v>78111502</v>
      </c>
      <c r="K182" s="147" t="s">
        <v>529</v>
      </c>
      <c r="L182" s="147" t="s">
        <v>562</v>
      </c>
      <c r="M182" s="147" t="s">
        <v>563</v>
      </c>
      <c r="N182" s="190" t="s">
        <v>127</v>
      </c>
      <c r="O182" s="190" t="s">
        <v>127</v>
      </c>
      <c r="P182" s="190" t="s">
        <v>91</v>
      </c>
      <c r="Q182" s="147">
        <v>11</v>
      </c>
      <c r="R182" s="147" t="s">
        <v>72</v>
      </c>
      <c r="S182" s="147" t="s">
        <v>536</v>
      </c>
      <c r="T182" s="147" t="s">
        <v>74</v>
      </c>
      <c r="U182" s="148">
        <v>45452318</v>
      </c>
      <c r="V182" s="148">
        <v>45452318</v>
      </c>
      <c r="W182" s="147" t="s">
        <v>75</v>
      </c>
      <c r="X182" s="147" t="s">
        <v>67</v>
      </c>
      <c r="Y182" s="147" t="s">
        <v>531</v>
      </c>
      <c r="Z182" s="147" t="s">
        <v>532</v>
      </c>
      <c r="AA182" s="147">
        <v>6012220601</v>
      </c>
      <c r="AB182" s="160" t="s">
        <v>533</v>
      </c>
      <c r="AC182" s="14"/>
      <c r="AD182" s="57"/>
      <c r="AE182" s="14"/>
      <c r="AF182" s="57"/>
      <c r="AG182" s="14"/>
      <c r="AH182" s="57"/>
      <c r="AI182" s="14"/>
      <c r="AJ182" s="14"/>
      <c r="AK182" s="14"/>
      <c r="AL182" s="14"/>
      <c r="AM182" s="14">
        <v>20000000</v>
      </c>
      <c r="AN182" s="14"/>
      <c r="AO182" s="14"/>
      <c r="AP182" s="14"/>
      <c r="AQ182" s="14"/>
      <c r="AR182" s="14">
        <v>12568536</v>
      </c>
      <c r="AS182" s="14"/>
      <c r="AT182" s="14"/>
      <c r="AU182" s="58">
        <v>25452318</v>
      </c>
      <c r="AV182" s="48">
        <v>3246595</v>
      </c>
      <c r="AW182" s="58"/>
      <c r="AX182" s="48">
        <v>12986376</v>
      </c>
      <c r="AY182" s="58"/>
      <c r="AZ182" s="48">
        <f>3246595+19479564-6075348</f>
        <v>16650811</v>
      </c>
      <c r="BA182" s="59"/>
      <c r="BB182" s="17"/>
      <c r="BC182" s="18">
        <f t="shared" ref="BC182:BD182" si="176">AC182+AE182+AG182+AI182+AK182+AM182+AO182+AQ182+AS182+AU182+AW182+AY182+BA182</f>
        <v>45452318</v>
      </c>
      <c r="BD182" s="18">
        <f t="shared" si="176"/>
        <v>45452318</v>
      </c>
      <c r="BE182" s="20">
        <f t="shared" si="1"/>
        <v>0</v>
      </c>
      <c r="BF182" s="20">
        <f t="shared" si="2"/>
        <v>0</v>
      </c>
      <c r="BG182" s="20">
        <f t="shared" si="3"/>
        <v>0</v>
      </c>
    </row>
    <row r="183" spans="1:59" ht="14.25" customHeight="1">
      <c r="A183" s="147" t="s">
        <v>59</v>
      </c>
      <c r="B183" s="147" t="s">
        <v>523</v>
      </c>
      <c r="C183" s="151" t="s">
        <v>524</v>
      </c>
      <c r="D183" s="151" t="s">
        <v>62</v>
      </c>
      <c r="E183" s="151">
        <v>6</v>
      </c>
      <c r="F183" s="149" t="s">
        <v>564</v>
      </c>
      <c r="G183" s="147" t="s">
        <v>526</v>
      </c>
      <c r="H183" s="147" t="s">
        <v>527</v>
      </c>
      <c r="I183" s="147" t="s">
        <v>528</v>
      </c>
      <c r="J183" s="164">
        <v>80111620</v>
      </c>
      <c r="K183" s="147" t="s">
        <v>529</v>
      </c>
      <c r="L183" s="147" t="s">
        <v>83</v>
      </c>
      <c r="M183" s="147" t="s">
        <v>565</v>
      </c>
      <c r="N183" s="147" t="s">
        <v>91</v>
      </c>
      <c r="O183" s="147" t="s">
        <v>91</v>
      </c>
      <c r="P183" s="147" t="s">
        <v>91</v>
      </c>
      <c r="Q183" s="147">
        <v>11.5</v>
      </c>
      <c r="R183" s="147" t="s">
        <v>72</v>
      </c>
      <c r="S183" s="147" t="s">
        <v>536</v>
      </c>
      <c r="T183" s="147" t="s">
        <v>74</v>
      </c>
      <c r="U183" s="148">
        <v>104264550</v>
      </c>
      <c r="V183" s="148">
        <v>104264550</v>
      </c>
      <c r="W183" s="147" t="s">
        <v>75</v>
      </c>
      <c r="X183" s="147" t="s">
        <v>67</v>
      </c>
      <c r="Y183" s="147" t="s">
        <v>531</v>
      </c>
      <c r="Z183" s="147" t="s">
        <v>532</v>
      </c>
      <c r="AA183" s="147">
        <v>6012220601</v>
      </c>
      <c r="AB183" s="160" t="s">
        <v>533</v>
      </c>
      <c r="AC183" s="14">
        <v>102482250</v>
      </c>
      <c r="AD183" s="57"/>
      <c r="AE183" s="14"/>
      <c r="AF183" s="57">
        <v>6238050</v>
      </c>
      <c r="AG183" s="14"/>
      <c r="AH183" s="57">
        <v>8911500</v>
      </c>
      <c r="AI183" s="14">
        <v>1782300</v>
      </c>
      <c r="AJ183" s="14">
        <v>8911500</v>
      </c>
      <c r="AK183" s="14"/>
      <c r="AL183" s="14">
        <v>8911500</v>
      </c>
      <c r="AM183" s="14"/>
      <c r="AN183" s="14">
        <v>8911500</v>
      </c>
      <c r="AO183" s="14"/>
      <c r="AP183" s="14">
        <v>8911500</v>
      </c>
      <c r="AQ183" s="14"/>
      <c r="AR183" s="14">
        <v>8911500</v>
      </c>
      <c r="AS183" s="14"/>
      <c r="AT183" s="14">
        <v>8911500</v>
      </c>
      <c r="AU183" s="58"/>
      <c r="AV183" s="25">
        <v>8911500</v>
      </c>
      <c r="AW183" s="58"/>
      <c r="AX183" s="25">
        <v>8911500</v>
      </c>
      <c r="AY183" s="58"/>
      <c r="AZ183" s="25">
        <v>17823000</v>
      </c>
      <c r="BA183" s="59"/>
      <c r="BB183" s="17"/>
      <c r="BC183" s="18">
        <f t="shared" ref="BC183:BD183" si="177">AC183+AE183+AG183+AI183+AK183+AM183+AO183+AQ183+AS183+AU183+AW183+AY183+BA183</f>
        <v>104264550</v>
      </c>
      <c r="BD183" s="18">
        <f t="shared" si="177"/>
        <v>104264550</v>
      </c>
      <c r="BE183" s="20">
        <f t="shared" si="1"/>
        <v>0</v>
      </c>
      <c r="BF183" s="20">
        <f t="shared" si="2"/>
        <v>0</v>
      </c>
      <c r="BG183" s="20">
        <f t="shared" si="3"/>
        <v>0</v>
      </c>
    </row>
    <row r="184" spans="1:59" ht="14.25" customHeight="1">
      <c r="A184" s="147" t="s">
        <v>59</v>
      </c>
      <c r="B184" s="147" t="s">
        <v>523</v>
      </c>
      <c r="C184" s="151" t="s">
        <v>524</v>
      </c>
      <c r="D184" s="151" t="s">
        <v>62</v>
      </c>
      <c r="E184" s="151">
        <v>15</v>
      </c>
      <c r="F184" s="149" t="s">
        <v>566</v>
      </c>
      <c r="G184" s="147" t="s">
        <v>526</v>
      </c>
      <c r="H184" s="147" t="s">
        <v>527</v>
      </c>
      <c r="I184" s="147" t="s">
        <v>528</v>
      </c>
      <c r="J184" s="164">
        <v>80111620</v>
      </c>
      <c r="K184" s="147" t="s">
        <v>529</v>
      </c>
      <c r="L184" s="147" t="s">
        <v>83</v>
      </c>
      <c r="M184" s="147" t="s">
        <v>567</v>
      </c>
      <c r="N184" s="147" t="s">
        <v>91</v>
      </c>
      <c r="O184" s="147" t="s">
        <v>91</v>
      </c>
      <c r="P184" s="147" t="s">
        <v>91</v>
      </c>
      <c r="Q184" s="147">
        <v>11.5</v>
      </c>
      <c r="R184" s="147" t="s">
        <v>72</v>
      </c>
      <c r="S184" s="147" t="s">
        <v>536</v>
      </c>
      <c r="T184" s="147" t="s">
        <v>74</v>
      </c>
      <c r="U184" s="148">
        <v>62651500</v>
      </c>
      <c r="V184" s="148">
        <v>62651500</v>
      </c>
      <c r="W184" s="147" t="s">
        <v>75</v>
      </c>
      <c r="X184" s="147" t="s">
        <v>67</v>
      </c>
      <c r="Y184" s="147" t="s">
        <v>531</v>
      </c>
      <c r="Z184" s="147" t="s">
        <v>532</v>
      </c>
      <c r="AA184" s="147">
        <v>6012220601</v>
      </c>
      <c r="AB184" s="160" t="s">
        <v>533</v>
      </c>
      <c r="AC184" s="14">
        <v>55050500</v>
      </c>
      <c r="AD184" s="57"/>
      <c r="AE184" s="14"/>
      <c r="AF184" s="57">
        <v>3510467</v>
      </c>
      <c r="AG184" s="14"/>
      <c r="AH184" s="57">
        <v>4787000</v>
      </c>
      <c r="AI184" s="14">
        <v>7600567</v>
      </c>
      <c r="AJ184" s="14">
        <v>4787000</v>
      </c>
      <c r="AK184" s="14"/>
      <c r="AL184" s="14">
        <v>5507400</v>
      </c>
      <c r="AM184" s="14"/>
      <c r="AN184" s="14">
        <v>5507400</v>
      </c>
      <c r="AO184" s="14"/>
      <c r="AP184" s="14">
        <v>5507400</v>
      </c>
      <c r="AQ184" s="14"/>
      <c r="AR184" s="14">
        <v>5507400</v>
      </c>
      <c r="AS184" s="14"/>
      <c r="AT184" s="14">
        <v>5507400</v>
      </c>
      <c r="AU184" s="32"/>
      <c r="AV184" s="25">
        <v>5507400</v>
      </c>
      <c r="AW184" s="58"/>
      <c r="AX184" s="25">
        <v>5507400</v>
      </c>
      <c r="AY184" s="58"/>
      <c r="AZ184" s="25">
        <f>9574433+1440800</f>
        <v>11015233</v>
      </c>
      <c r="BA184" s="60">
        <v>433</v>
      </c>
      <c r="BB184" s="17"/>
      <c r="BC184" s="18">
        <f t="shared" ref="BC184:BD184" si="178">AC184+AE184+AG184+AI184+AK184+AM184+AO184+AQ184+AS184+AU184+AW184+AY184+BA184</f>
        <v>62651500</v>
      </c>
      <c r="BD184" s="18">
        <f t="shared" si="178"/>
        <v>62651500</v>
      </c>
      <c r="BE184" s="20">
        <f t="shared" si="1"/>
        <v>0</v>
      </c>
      <c r="BF184" s="20">
        <f t="shared" si="2"/>
        <v>0</v>
      </c>
      <c r="BG184" s="20">
        <f t="shared" si="3"/>
        <v>0</v>
      </c>
    </row>
    <row r="185" spans="1:59" ht="14.25" customHeight="1">
      <c r="A185" s="147" t="s">
        <v>59</v>
      </c>
      <c r="B185" s="147" t="s">
        <v>523</v>
      </c>
      <c r="C185" s="151" t="s">
        <v>524</v>
      </c>
      <c r="D185" s="151" t="s">
        <v>62</v>
      </c>
      <c r="E185" s="151">
        <v>20</v>
      </c>
      <c r="F185" s="149" t="s">
        <v>568</v>
      </c>
      <c r="G185" s="147" t="s">
        <v>526</v>
      </c>
      <c r="H185" s="147" t="s">
        <v>527</v>
      </c>
      <c r="I185" s="147" t="s">
        <v>528</v>
      </c>
      <c r="J185" s="164">
        <v>80111620</v>
      </c>
      <c r="K185" s="147" t="s">
        <v>529</v>
      </c>
      <c r="L185" s="147" t="s">
        <v>83</v>
      </c>
      <c r="M185" s="147" t="s">
        <v>569</v>
      </c>
      <c r="N185" s="147" t="s">
        <v>91</v>
      </c>
      <c r="O185" s="147" t="s">
        <v>91</v>
      </c>
      <c r="P185" s="165" t="s">
        <v>85</v>
      </c>
      <c r="Q185" s="147">
        <v>11</v>
      </c>
      <c r="R185" s="147" t="s">
        <v>72</v>
      </c>
      <c r="S185" s="147" t="s">
        <v>73</v>
      </c>
      <c r="T185" s="147" t="s">
        <v>74</v>
      </c>
      <c r="U185" s="148">
        <v>78803280</v>
      </c>
      <c r="V185" s="148">
        <v>78803280</v>
      </c>
      <c r="W185" s="147" t="s">
        <v>75</v>
      </c>
      <c r="X185" s="147" t="s">
        <v>67</v>
      </c>
      <c r="Y185" s="147" t="s">
        <v>531</v>
      </c>
      <c r="Z185" s="147" t="s">
        <v>532</v>
      </c>
      <c r="AA185" s="147">
        <v>6012220601</v>
      </c>
      <c r="AB185" s="160" t="s">
        <v>533</v>
      </c>
      <c r="AC185" s="14"/>
      <c r="AD185" s="57"/>
      <c r="AE185" s="14">
        <v>79046500</v>
      </c>
      <c r="AF185" s="57"/>
      <c r="AG185" s="14">
        <v>-243220</v>
      </c>
      <c r="AH185" s="57">
        <v>5837280</v>
      </c>
      <c r="AI185" s="14"/>
      <c r="AJ185" s="14">
        <v>7296600</v>
      </c>
      <c r="AK185" s="14"/>
      <c r="AL185" s="14">
        <v>7296600</v>
      </c>
      <c r="AM185" s="14"/>
      <c r="AN185" s="14">
        <v>7296600</v>
      </c>
      <c r="AO185" s="14"/>
      <c r="AP185" s="14">
        <v>7296600</v>
      </c>
      <c r="AQ185" s="14"/>
      <c r="AR185" s="14">
        <v>7296600</v>
      </c>
      <c r="AS185" s="14"/>
      <c r="AT185" s="14">
        <v>7296600</v>
      </c>
      <c r="AU185" s="61"/>
      <c r="AV185" s="15">
        <v>7296600</v>
      </c>
      <c r="AW185" s="61"/>
      <c r="AX185" s="15">
        <v>7296600</v>
      </c>
      <c r="AY185" s="61"/>
      <c r="AZ185" s="15">
        <v>14593200</v>
      </c>
      <c r="BA185" s="59"/>
      <c r="BB185" s="17"/>
      <c r="BC185" s="18">
        <f t="shared" ref="BC185:BD185" si="179">AC185+AE185+AG185+AI185+AK185+AM185+AO185+AQ185+AS185+AU185+AW185+AY185+BA185</f>
        <v>78803280</v>
      </c>
      <c r="BD185" s="18">
        <f t="shared" si="179"/>
        <v>78803280</v>
      </c>
      <c r="BE185" s="20">
        <f t="shared" si="1"/>
        <v>0</v>
      </c>
      <c r="BF185" s="20">
        <f t="shared" si="2"/>
        <v>0</v>
      </c>
      <c r="BG185" s="20">
        <f t="shared" si="3"/>
        <v>0</v>
      </c>
    </row>
    <row r="186" spans="1:59" ht="14.25" customHeight="1">
      <c r="A186" s="147" t="s">
        <v>59</v>
      </c>
      <c r="B186" s="147" t="s">
        <v>523</v>
      </c>
      <c r="C186" s="151" t="s">
        <v>524</v>
      </c>
      <c r="D186" s="151" t="s">
        <v>62</v>
      </c>
      <c r="E186" s="151">
        <v>20</v>
      </c>
      <c r="F186" s="149" t="s">
        <v>570</v>
      </c>
      <c r="G186" s="147" t="s">
        <v>526</v>
      </c>
      <c r="H186" s="147" t="s">
        <v>527</v>
      </c>
      <c r="I186" s="147" t="s">
        <v>528</v>
      </c>
      <c r="J186" s="164">
        <v>80111620</v>
      </c>
      <c r="K186" s="147" t="s">
        <v>529</v>
      </c>
      <c r="L186" s="147" t="s">
        <v>83</v>
      </c>
      <c r="M186" s="147" t="s">
        <v>571</v>
      </c>
      <c r="N186" s="147" t="s">
        <v>91</v>
      </c>
      <c r="O186" s="147" t="s">
        <v>91</v>
      </c>
      <c r="P186" s="165" t="s">
        <v>85</v>
      </c>
      <c r="Q186" s="147">
        <v>11</v>
      </c>
      <c r="R186" s="147" t="s">
        <v>72</v>
      </c>
      <c r="S186" s="147" t="s">
        <v>73</v>
      </c>
      <c r="T186" s="147" t="s">
        <v>74</v>
      </c>
      <c r="U186" s="148">
        <v>49105440</v>
      </c>
      <c r="V186" s="148">
        <v>49105440</v>
      </c>
      <c r="W186" s="147" t="s">
        <v>75</v>
      </c>
      <c r="X186" s="147" t="s">
        <v>67</v>
      </c>
      <c r="Y186" s="147" t="s">
        <v>531</v>
      </c>
      <c r="Z186" s="147" t="s">
        <v>532</v>
      </c>
      <c r="AA186" s="147">
        <v>6012220601</v>
      </c>
      <c r="AB186" s="160" t="s">
        <v>533</v>
      </c>
      <c r="AC186" s="14"/>
      <c r="AD186" s="57"/>
      <c r="AE186" s="14">
        <v>49257000</v>
      </c>
      <c r="AF186" s="57"/>
      <c r="AG186" s="14">
        <v>-151560</v>
      </c>
      <c r="AH186" s="57">
        <v>3637440</v>
      </c>
      <c r="AI186" s="14"/>
      <c r="AJ186" s="14">
        <v>4546800</v>
      </c>
      <c r="AK186" s="14"/>
      <c r="AL186" s="14">
        <v>4546800</v>
      </c>
      <c r="AM186" s="14"/>
      <c r="AN186" s="14">
        <v>4546800</v>
      </c>
      <c r="AO186" s="14"/>
      <c r="AP186" s="14">
        <v>4546800</v>
      </c>
      <c r="AQ186" s="14"/>
      <c r="AR186" s="14">
        <v>4546800</v>
      </c>
      <c r="AS186" s="14"/>
      <c r="AT186" s="14">
        <v>4546800</v>
      </c>
      <c r="AU186" s="61"/>
      <c r="AV186" s="15">
        <v>4546800</v>
      </c>
      <c r="AW186" s="61"/>
      <c r="AX186" s="15">
        <v>4546800</v>
      </c>
      <c r="AY186" s="61"/>
      <c r="AZ186" s="15">
        <v>9093600</v>
      </c>
      <c r="BA186" s="59"/>
      <c r="BB186" s="17"/>
      <c r="BC186" s="18">
        <f t="shared" ref="BC186:BD186" si="180">AC186+AE186+AG186+AI186+AK186+AM186+AO186+AQ186+AS186+AU186+AW186+AY186+BA186</f>
        <v>49105440</v>
      </c>
      <c r="BD186" s="18">
        <f t="shared" si="180"/>
        <v>49105440</v>
      </c>
      <c r="BE186" s="20">
        <f t="shared" si="1"/>
        <v>0</v>
      </c>
      <c r="BF186" s="20">
        <f t="shared" si="2"/>
        <v>0</v>
      </c>
      <c r="BG186" s="20">
        <f t="shared" si="3"/>
        <v>0</v>
      </c>
    </row>
    <row r="187" spans="1:59" ht="14.25" customHeight="1">
      <c r="A187" s="147" t="s">
        <v>59</v>
      </c>
      <c r="B187" s="147" t="s">
        <v>523</v>
      </c>
      <c r="C187" s="151" t="s">
        <v>524</v>
      </c>
      <c r="D187" s="151" t="s">
        <v>62</v>
      </c>
      <c r="E187" s="151">
        <v>20</v>
      </c>
      <c r="F187" s="149" t="s">
        <v>572</v>
      </c>
      <c r="G187" s="147" t="s">
        <v>526</v>
      </c>
      <c r="H187" s="147" t="s">
        <v>527</v>
      </c>
      <c r="I187" s="147" t="s">
        <v>528</v>
      </c>
      <c r="J187" s="164">
        <v>80111620</v>
      </c>
      <c r="K187" s="147" t="s">
        <v>529</v>
      </c>
      <c r="L187" s="147" t="s">
        <v>83</v>
      </c>
      <c r="M187" s="147" t="s">
        <v>573</v>
      </c>
      <c r="N187" s="147" t="s">
        <v>91</v>
      </c>
      <c r="O187" s="147" t="s">
        <v>91</v>
      </c>
      <c r="P187" s="149" t="s">
        <v>91</v>
      </c>
      <c r="Q187" s="147">
        <v>11</v>
      </c>
      <c r="R187" s="147" t="s">
        <v>72</v>
      </c>
      <c r="S187" s="147" t="s">
        <v>73</v>
      </c>
      <c r="T187" s="147" t="s">
        <v>74</v>
      </c>
      <c r="U187" s="148">
        <v>87336160</v>
      </c>
      <c r="V187" s="148">
        <v>87336160</v>
      </c>
      <c r="W187" s="147" t="s">
        <v>75</v>
      </c>
      <c r="X187" s="147" t="s">
        <v>67</v>
      </c>
      <c r="Y187" s="147" t="s">
        <v>531</v>
      </c>
      <c r="Z187" s="147" t="s">
        <v>532</v>
      </c>
      <c r="AA187" s="147">
        <v>6012220601</v>
      </c>
      <c r="AB187" s="160" t="s">
        <v>533</v>
      </c>
      <c r="AC187" s="14">
        <v>87389040</v>
      </c>
      <c r="AD187" s="57"/>
      <c r="AE187" s="14"/>
      <c r="AF187" s="57"/>
      <c r="AG187" s="14"/>
      <c r="AH187" s="57">
        <v>7370160</v>
      </c>
      <c r="AI187" s="14">
        <v>-52880</v>
      </c>
      <c r="AJ187" s="14">
        <v>7896600</v>
      </c>
      <c r="AK187" s="14"/>
      <c r="AL187" s="14">
        <v>7896600</v>
      </c>
      <c r="AM187" s="14"/>
      <c r="AN187" s="14">
        <v>7896600</v>
      </c>
      <c r="AO187" s="14"/>
      <c r="AP187" s="14">
        <v>7896600</v>
      </c>
      <c r="AQ187" s="14"/>
      <c r="AR187" s="14">
        <v>8312900</v>
      </c>
      <c r="AS187" s="14"/>
      <c r="AT187" s="14">
        <v>7896600</v>
      </c>
      <c r="AU187" s="61"/>
      <c r="AV187" s="15">
        <v>7896600</v>
      </c>
      <c r="AW187" s="61"/>
      <c r="AX187" s="15">
        <v>7896600</v>
      </c>
      <c r="AY187" s="61"/>
      <c r="AZ187" s="15">
        <f>16793200-416300</f>
        <v>16376900</v>
      </c>
      <c r="BA187" s="59"/>
      <c r="BB187" s="17"/>
      <c r="BC187" s="18">
        <f t="shared" ref="BC187:BD187" si="181">AC187+AE187+AG187+AI187+AK187+AM187+AO187+AQ187+AS187+AU187+AW187+AY187+BA187</f>
        <v>87336160</v>
      </c>
      <c r="BD187" s="18">
        <f t="shared" si="181"/>
        <v>87336160</v>
      </c>
      <c r="BE187" s="20">
        <f t="shared" si="1"/>
        <v>0</v>
      </c>
      <c r="BF187" s="20">
        <f t="shared" si="2"/>
        <v>0</v>
      </c>
      <c r="BG187" s="20">
        <f t="shared" si="3"/>
        <v>0</v>
      </c>
    </row>
    <row r="188" spans="1:59" ht="14.25" customHeight="1">
      <c r="A188" s="147" t="s">
        <v>59</v>
      </c>
      <c r="B188" s="147" t="s">
        <v>523</v>
      </c>
      <c r="C188" s="151" t="s">
        <v>524</v>
      </c>
      <c r="D188" s="151" t="s">
        <v>62</v>
      </c>
      <c r="E188" s="151">
        <v>20</v>
      </c>
      <c r="F188" s="149" t="s">
        <v>574</v>
      </c>
      <c r="G188" s="147" t="s">
        <v>526</v>
      </c>
      <c r="H188" s="147" t="s">
        <v>527</v>
      </c>
      <c r="I188" s="147" t="s">
        <v>528</v>
      </c>
      <c r="J188" s="164">
        <v>80111620</v>
      </c>
      <c r="K188" s="147" t="s">
        <v>529</v>
      </c>
      <c r="L188" s="147" t="s">
        <v>83</v>
      </c>
      <c r="M188" s="147" t="s">
        <v>575</v>
      </c>
      <c r="N188" s="147" t="s">
        <v>91</v>
      </c>
      <c r="O188" s="147" t="s">
        <v>91</v>
      </c>
      <c r="P188" s="149" t="s">
        <v>91</v>
      </c>
      <c r="Q188" s="147">
        <v>11</v>
      </c>
      <c r="R188" s="147" t="s">
        <v>72</v>
      </c>
      <c r="S188" s="147" t="s">
        <v>73</v>
      </c>
      <c r="T188" s="147" t="s">
        <v>74</v>
      </c>
      <c r="U188" s="148">
        <v>87336160</v>
      </c>
      <c r="V188" s="148">
        <v>87336160</v>
      </c>
      <c r="W188" s="147" t="s">
        <v>75</v>
      </c>
      <c r="X188" s="147" t="s">
        <v>67</v>
      </c>
      <c r="Y188" s="147" t="s">
        <v>531</v>
      </c>
      <c r="Z188" s="147" t="s">
        <v>532</v>
      </c>
      <c r="AA188" s="147">
        <v>6012220601</v>
      </c>
      <c r="AB188" s="160" t="s">
        <v>533</v>
      </c>
      <c r="AC188" s="14">
        <v>87389040</v>
      </c>
      <c r="AD188" s="57"/>
      <c r="AE188" s="14"/>
      <c r="AF188" s="57"/>
      <c r="AG188" s="14"/>
      <c r="AH188" s="57">
        <v>7370160</v>
      </c>
      <c r="AI188" s="14">
        <v>-52880</v>
      </c>
      <c r="AJ188" s="14">
        <v>7896600</v>
      </c>
      <c r="AK188" s="14"/>
      <c r="AL188" s="14">
        <v>7896600</v>
      </c>
      <c r="AM188" s="14"/>
      <c r="AN188" s="14">
        <v>7896600</v>
      </c>
      <c r="AO188" s="14"/>
      <c r="AP188" s="14">
        <v>7896600</v>
      </c>
      <c r="AQ188" s="14"/>
      <c r="AR188" s="14">
        <v>7896600</v>
      </c>
      <c r="AS188" s="14"/>
      <c r="AT188" s="14">
        <v>7896600</v>
      </c>
      <c r="AU188" s="61"/>
      <c r="AV188" s="15">
        <v>7896600</v>
      </c>
      <c r="AW188" s="61"/>
      <c r="AX188" s="15">
        <v>7896600</v>
      </c>
      <c r="AY188" s="61"/>
      <c r="AZ188" s="15">
        <v>16793200</v>
      </c>
      <c r="BA188" s="59"/>
      <c r="BB188" s="17"/>
      <c r="BC188" s="18">
        <f t="shared" ref="BC188:BD188" si="182">AC188+AE188+AG188+AI188+AK188+AM188+AO188+AQ188+AS188+AU188+AW188+AY188+BA188</f>
        <v>87336160</v>
      </c>
      <c r="BD188" s="18">
        <f t="shared" si="182"/>
        <v>87336160</v>
      </c>
      <c r="BE188" s="20">
        <f t="shared" si="1"/>
        <v>0</v>
      </c>
      <c r="BF188" s="20">
        <f t="shared" si="2"/>
        <v>0</v>
      </c>
      <c r="BG188" s="20">
        <f t="shared" si="3"/>
        <v>0</v>
      </c>
    </row>
    <row r="189" spans="1:59" ht="14.25" customHeight="1">
      <c r="A189" s="147" t="s">
        <v>59</v>
      </c>
      <c r="B189" s="147" t="s">
        <v>523</v>
      </c>
      <c r="C189" s="151" t="s">
        <v>524</v>
      </c>
      <c r="D189" s="151" t="s">
        <v>62</v>
      </c>
      <c r="E189" s="151">
        <v>6</v>
      </c>
      <c r="F189" s="149" t="s">
        <v>576</v>
      </c>
      <c r="G189" s="147" t="s">
        <v>526</v>
      </c>
      <c r="H189" s="147" t="s">
        <v>527</v>
      </c>
      <c r="I189" s="147" t="s">
        <v>528</v>
      </c>
      <c r="J189" s="164">
        <v>80111620</v>
      </c>
      <c r="K189" s="147" t="s">
        <v>529</v>
      </c>
      <c r="L189" s="147" t="s">
        <v>83</v>
      </c>
      <c r="M189" s="147" t="s">
        <v>577</v>
      </c>
      <c r="N189" s="147" t="s">
        <v>91</v>
      </c>
      <c r="O189" s="147" t="s">
        <v>91</v>
      </c>
      <c r="P189" s="165" t="s">
        <v>85</v>
      </c>
      <c r="Q189" s="147">
        <v>11</v>
      </c>
      <c r="R189" s="147" t="s">
        <v>72</v>
      </c>
      <c r="S189" s="147" t="s">
        <v>73</v>
      </c>
      <c r="T189" s="147" t="s">
        <v>74</v>
      </c>
      <c r="U189" s="148">
        <v>85546500</v>
      </c>
      <c r="V189" s="148">
        <v>85546500</v>
      </c>
      <c r="W189" s="147" t="s">
        <v>75</v>
      </c>
      <c r="X189" s="147" t="s">
        <v>67</v>
      </c>
      <c r="Y189" s="147" t="s">
        <v>531</v>
      </c>
      <c r="Z189" s="147" t="s">
        <v>532</v>
      </c>
      <c r="AA189" s="147">
        <v>6012220601</v>
      </c>
      <c r="AB189" s="160" t="s">
        <v>533</v>
      </c>
      <c r="AC189" s="14"/>
      <c r="AD189" s="57"/>
      <c r="AE189" s="14">
        <v>85546500</v>
      </c>
      <c r="AF189" s="57"/>
      <c r="AG189" s="14"/>
      <c r="AH189" s="57">
        <v>6580500</v>
      </c>
      <c r="AI189" s="14"/>
      <c r="AJ189" s="14">
        <v>7896600</v>
      </c>
      <c r="AK189" s="14"/>
      <c r="AL189" s="14">
        <v>7896600</v>
      </c>
      <c r="AM189" s="14"/>
      <c r="AN189" s="14">
        <v>7896600</v>
      </c>
      <c r="AO189" s="14"/>
      <c r="AP189" s="14">
        <v>7896600</v>
      </c>
      <c r="AQ189" s="14"/>
      <c r="AR189" s="14">
        <v>7896600</v>
      </c>
      <c r="AS189" s="14"/>
      <c r="AT189" s="14">
        <v>7896600</v>
      </c>
      <c r="AU189" s="61"/>
      <c r="AV189" s="15">
        <v>7896600</v>
      </c>
      <c r="AW189" s="61"/>
      <c r="AX189" s="15">
        <v>7896600</v>
      </c>
      <c r="AY189" s="61"/>
      <c r="AZ189" s="15">
        <v>15793200</v>
      </c>
      <c r="BA189" s="59"/>
      <c r="BB189" s="17"/>
      <c r="BC189" s="18">
        <f t="shared" ref="BC189:BD189" si="183">AC189+AE189+AG189+AI189+AK189+AM189+AO189+AQ189+AS189+AU189+AW189+AY189+BA189</f>
        <v>85546500</v>
      </c>
      <c r="BD189" s="18">
        <f t="shared" si="183"/>
        <v>85546500</v>
      </c>
      <c r="BE189" s="20">
        <f t="shared" si="1"/>
        <v>0</v>
      </c>
      <c r="BF189" s="20">
        <f t="shared" si="2"/>
        <v>0</v>
      </c>
      <c r="BG189" s="20">
        <f t="shared" si="3"/>
        <v>0</v>
      </c>
    </row>
    <row r="190" spans="1:59" ht="14.25" customHeight="1">
      <c r="A190" s="147" t="s">
        <v>59</v>
      </c>
      <c r="B190" s="147" t="s">
        <v>523</v>
      </c>
      <c r="C190" s="151" t="s">
        <v>524</v>
      </c>
      <c r="D190" s="151" t="s">
        <v>62</v>
      </c>
      <c r="E190" s="151">
        <v>6</v>
      </c>
      <c r="F190" s="149" t="s">
        <v>578</v>
      </c>
      <c r="G190" s="147" t="s">
        <v>526</v>
      </c>
      <c r="H190" s="147" t="s">
        <v>527</v>
      </c>
      <c r="I190" s="147" t="s">
        <v>528</v>
      </c>
      <c r="J190" s="164">
        <v>80111620</v>
      </c>
      <c r="K190" s="147" t="s">
        <v>529</v>
      </c>
      <c r="L190" s="147" t="s">
        <v>83</v>
      </c>
      <c r="M190" s="147" t="s">
        <v>579</v>
      </c>
      <c r="N190" s="147" t="s">
        <v>91</v>
      </c>
      <c r="O190" s="147" t="s">
        <v>91</v>
      </c>
      <c r="P190" s="165" t="s">
        <v>85</v>
      </c>
      <c r="Q190" s="147">
        <v>11</v>
      </c>
      <c r="R190" s="147" t="s">
        <v>72</v>
      </c>
      <c r="S190" s="147" t="s">
        <v>73</v>
      </c>
      <c r="T190" s="147" t="s">
        <v>74</v>
      </c>
      <c r="U190" s="148">
        <v>85546500</v>
      </c>
      <c r="V190" s="148">
        <v>85546500</v>
      </c>
      <c r="W190" s="147" t="s">
        <v>75</v>
      </c>
      <c r="X190" s="147" t="s">
        <v>67</v>
      </c>
      <c r="Y190" s="147" t="s">
        <v>531</v>
      </c>
      <c r="Z190" s="147" t="s">
        <v>532</v>
      </c>
      <c r="AA190" s="147">
        <v>6012220601</v>
      </c>
      <c r="AB190" s="160" t="s">
        <v>533</v>
      </c>
      <c r="AC190" s="14"/>
      <c r="AD190" s="57"/>
      <c r="AE190" s="14">
        <v>85546500</v>
      </c>
      <c r="AF190" s="57"/>
      <c r="AG190" s="14"/>
      <c r="AH190" s="57">
        <v>6580500</v>
      </c>
      <c r="AI190" s="14"/>
      <c r="AJ190" s="14">
        <v>7896600</v>
      </c>
      <c r="AK190" s="14"/>
      <c r="AL190" s="14">
        <v>7896600</v>
      </c>
      <c r="AM190" s="14"/>
      <c r="AN190" s="14">
        <v>7896600</v>
      </c>
      <c r="AO190" s="14"/>
      <c r="AP190" s="14">
        <v>7896600</v>
      </c>
      <c r="AQ190" s="14"/>
      <c r="AR190" s="14">
        <v>7896600</v>
      </c>
      <c r="AS190" s="14"/>
      <c r="AT190" s="14">
        <v>7896600</v>
      </c>
      <c r="AU190" s="61"/>
      <c r="AV190" s="15">
        <v>7896600</v>
      </c>
      <c r="AW190" s="61"/>
      <c r="AX190" s="15">
        <v>7896600</v>
      </c>
      <c r="AY190" s="61"/>
      <c r="AZ190" s="15">
        <v>15793200</v>
      </c>
      <c r="BA190" s="59"/>
      <c r="BB190" s="17"/>
      <c r="BC190" s="18">
        <f t="shared" ref="BC190:BD190" si="184">AC190+AE190+AG190+AI190+AK190+AM190+AO190+AQ190+AS190+AU190+AW190+AY190+BA190</f>
        <v>85546500</v>
      </c>
      <c r="BD190" s="18">
        <f t="shared" si="184"/>
        <v>85546500</v>
      </c>
      <c r="BE190" s="20">
        <f t="shared" si="1"/>
        <v>0</v>
      </c>
      <c r="BF190" s="20">
        <f t="shared" si="2"/>
        <v>0</v>
      </c>
      <c r="BG190" s="20">
        <f t="shared" si="3"/>
        <v>0</v>
      </c>
    </row>
    <row r="191" spans="1:59" ht="14.25" customHeight="1">
      <c r="A191" s="147" t="s">
        <v>59</v>
      </c>
      <c r="B191" s="147" t="s">
        <v>523</v>
      </c>
      <c r="C191" s="151" t="s">
        <v>524</v>
      </c>
      <c r="D191" s="151" t="s">
        <v>62</v>
      </c>
      <c r="E191" s="151">
        <v>19</v>
      </c>
      <c r="F191" s="149" t="s">
        <v>580</v>
      </c>
      <c r="G191" s="147" t="s">
        <v>526</v>
      </c>
      <c r="H191" s="147" t="s">
        <v>527</v>
      </c>
      <c r="I191" s="147" t="s">
        <v>528</v>
      </c>
      <c r="J191" s="164">
        <v>80111620</v>
      </c>
      <c r="K191" s="147" t="s">
        <v>529</v>
      </c>
      <c r="L191" s="147" t="s">
        <v>83</v>
      </c>
      <c r="M191" s="147" t="s">
        <v>581</v>
      </c>
      <c r="N191" s="147" t="s">
        <v>85</v>
      </c>
      <c r="O191" s="147" t="s">
        <v>85</v>
      </c>
      <c r="P191" s="165" t="s">
        <v>85</v>
      </c>
      <c r="Q191" s="147">
        <v>10</v>
      </c>
      <c r="R191" s="147" t="s">
        <v>72</v>
      </c>
      <c r="S191" s="147" t="s">
        <v>73</v>
      </c>
      <c r="T191" s="147" t="s">
        <v>74</v>
      </c>
      <c r="U191" s="148">
        <v>2150330</v>
      </c>
      <c r="V191" s="148">
        <v>2150330</v>
      </c>
      <c r="W191" s="147" t="s">
        <v>75</v>
      </c>
      <c r="X191" s="147" t="s">
        <v>67</v>
      </c>
      <c r="Y191" s="147" t="s">
        <v>531</v>
      </c>
      <c r="Z191" s="147" t="s">
        <v>532</v>
      </c>
      <c r="AA191" s="147">
        <v>6012220601</v>
      </c>
      <c r="AB191" s="160" t="s">
        <v>533</v>
      </c>
      <c r="AC191" s="14"/>
      <c r="AD191" s="57"/>
      <c r="AE191" s="14">
        <v>38579450</v>
      </c>
      <c r="AF191" s="57"/>
      <c r="AG191" s="14">
        <v>-36429120</v>
      </c>
      <c r="AH191" s="57">
        <v>379470</v>
      </c>
      <c r="AI191" s="14"/>
      <c r="AJ191" s="14">
        <v>1770860</v>
      </c>
      <c r="AK191" s="14"/>
      <c r="AL191" s="14"/>
      <c r="AM191" s="14"/>
      <c r="AN191" s="14"/>
      <c r="AO191" s="14"/>
      <c r="AP191" s="14"/>
      <c r="AQ191" s="14"/>
      <c r="AR191" s="14"/>
      <c r="AS191" s="14"/>
      <c r="AT191" s="14"/>
      <c r="AU191" s="58"/>
      <c r="AV191" s="25"/>
      <c r="AW191" s="58"/>
      <c r="AX191" s="25"/>
      <c r="AY191" s="58"/>
      <c r="AZ191" s="25"/>
      <c r="BA191" s="59"/>
      <c r="BB191" s="17"/>
      <c r="BC191" s="18">
        <f t="shared" ref="BC191:BD191" si="185">AC191+AE191+AG191+AI191+AK191+AM191+AO191+AQ191+AS191+AU191+AW191+AY191+BA191</f>
        <v>2150330</v>
      </c>
      <c r="BD191" s="18">
        <f t="shared" si="185"/>
        <v>2150330</v>
      </c>
      <c r="BE191" s="20">
        <f t="shared" si="1"/>
        <v>0</v>
      </c>
      <c r="BF191" s="20">
        <f t="shared" si="2"/>
        <v>0</v>
      </c>
      <c r="BG191" s="20">
        <f t="shared" si="3"/>
        <v>0</v>
      </c>
    </row>
    <row r="192" spans="1:59" ht="14.25" customHeight="1">
      <c r="A192" s="147" t="s">
        <v>59</v>
      </c>
      <c r="B192" s="147" t="s">
        <v>523</v>
      </c>
      <c r="C192" s="151" t="s">
        <v>524</v>
      </c>
      <c r="D192" s="151" t="s">
        <v>62</v>
      </c>
      <c r="E192" s="151">
        <v>37</v>
      </c>
      <c r="F192" s="149" t="s">
        <v>582</v>
      </c>
      <c r="G192" s="147" t="s">
        <v>583</v>
      </c>
      <c r="H192" s="147" t="s">
        <v>584</v>
      </c>
      <c r="I192" s="147" t="s">
        <v>585</v>
      </c>
      <c r="J192" s="164">
        <v>80121601</v>
      </c>
      <c r="K192" s="147" t="s">
        <v>586</v>
      </c>
      <c r="L192" s="147" t="s">
        <v>248</v>
      </c>
      <c r="M192" s="147" t="s">
        <v>587</v>
      </c>
      <c r="N192" s="147" t="s">
        <v>85</v>
      </c>
      <c r="O192" s="147" t="s">
        <v>86</v>
      </c>
      <c r="P192" s="147" t="s">
        <v>86</v>
      </c>
      <c r="Q192" s="147">
        <v>10</v>
      </c>
      <c r="R192" s="147" t="s">
        <v>72</v>
      </c>
      <c r="S192" s="147" t="s">
        <v>536</v>
      </c>
      <c r="T192" s="147" t="s">
        <v>74</v>
      </c>
      <c r="U192" s="148">
        <v>130000000</v>
      </c>
      <c r="V192" s="148">
        <v>130000000</v>
      </c>
      <c r="W192" s="147" t="s">
        <v>75</v>
      </c>
      <c r="X192" s="147" t="s">
        <v>67</v>
      </c>
      <c r="Y192" s="147" t="s">
        <v>531</v>
      </c>
      <c r="Z192" s="147" t="s">
        <v>532</v>
      </c>
      <c r="AA192" s="147">
        <v>6012220601</v>
      </c>
      <c r="AB192" s="160" t="s">
        <v>533</v>
      </c>
      <c r="AC192" s="14"/>
      <c r="AD192" s="57"/>
      <c r="AE192" s="14"/>
      <c r="AF192" s="57"/>
      <c r="AG192" s="14">
        <v>130000000</v>
      </c>
      <c r="AH192" s="57"/>
      <c r="AI192" s="14"/>
      <c r="AJ192" s="14">
        <v>10833333</v>
      </c>
      <c r="AK192" s="14"/>
      <c r="AL192" s="14">
        <v>13000000</v>
      </c>
      <c r="AM192" s="14"/>
      <c r="AN192" s="14">
        <v>13000000</v>
      </c>
      <c r="AO192" s="14"/>
      <c r="AP192" s="14">
        <v>13000000</v>
      </c>
      <c r="AQ192" s="14"/>
      <c r="AR192" s="14">
        <v>13000000</v>
      </c>
      <c r="AS192" s="14"/>
      <c r="AT192" s="14">
        <v>13000000</v>
      </c>
      <c r="AU192" s="58"/>
      <c r="AV192" s="25">
        <v>13000000</v>
      </c>
      <c r="AW192" s="58"/>
      <c r="AX192" s="25">
        <v>13000000</v>
      </c>
      <c r="AY192" s="58"/>
      <c r="AZ192" s="25">
        <v>28166667</v>
      </c>
      <c r="BA192" s="59"/>
      <c r="BB192" s="17"/>
      <c r="BC192" s="18">
        <f t="shared" ref="BC192:BD192" si="186">AC192+AE192+AG192+AI192+AK192+AM192+AO192+AQ192+AS192+AU192+AW192+AY192+BA192</f>
        <v>130000000</v>
      </c>
      <c r="BD192" s="18">
        <f t="shared" si="186"/>
        <v>130000000</v>
      </c>
      <c r="BE192" s="20">
        <f t="shared" si="1"/>
        <v>0</v>
      </c>
      <c r="BF192" s="20">
        <f t="shared" si="2"/>
        <v>0</v>
      </c>
      <c r="BG192" s="20">
        <f t="shared" si="3"/>
        <v>0</v>
      </c>
    </row>
    <row r="193" spans="1:59" ht="14.25" customHeight="1">
      <c r="A193" s="147" t="s">
        <v>59</v>
      </c>
      <c r="B193" s="147" t="s">
        <v>523</v>
      </c>
      <c r="C193" s="151" t="s">
        <v>524</v>
      </c>
      <c r="D193" s="151" t="s">
        <v>62</v>
      </c>
      <c r="E193" s="151">
        <v>20</v>
      </c>
      <c r="F193" s="149" t="s">
        <v>588</v>
      </c>
      <c r="G193" s="147" t="s">
        <v>583</v>
      </c>
      <c r="H193" s="147" t="s">
        <v>584</v>
      </c>
      <c r="I193" s="147" t="s">
        <v>589</v>
      </c>
      <c r="J193" s="164">
        <v>80111620</v>
      </c>
      <c r="K193" s="147" t="s">
        <v>586</v>
      </c>
      <c r="L193" s="147" t="s">
        <v>83</v>
      </c>
      <c r="M193" s="147" t="s">
        <v>590</v>
      </c>
      <c r="N193" s="147" t="s">
        <v>85</v>
      </c>
      <c r="O193" s="147" t="s">
        <v>85</v>
      </c>
      <c r="P193" s="147" t="s">
        <v>86</v>
      </c>
      <c r="Q193" s="147">
        <v>10</v>
      </c>
      <c r="R193" s="147" t="s">
        <v>72</v>
      </c>
      <c r="S193" s="147" t="s">
        <v>73</v>
      </c>
      <c r="T193" s="147" t="s">
        <v>74</v>
      </c>
      <c r="U193" s="148">
        <v>63660265</v>
      </c>
      <c r="V193" s="148">
        <v>63660265</v>
      </c>
      <c r="W193" s="147" t="s">
        <v>75</v>
      </c>
      <c r="X193" s="147" t="s">
        <v>67</v>
      </c>
      <c r="Y193" s="147" t="s">
        <v>531</v>
      </c>
      <c r="Z193" s="147" t="s">
        <v>532</v>
      </c>
      <c r="AA193" s="147">
        <v>6012220601</v>
      </c>
      <c r="AB193" s="160" t="s">
        <v>533</v>
      </c>
      <c r="AC193" s="14"/>
      <c r="AD193" s="57"/>
      <c r="AE193" s="14"/>
      <c r="AF193" s="57"/>
      <c r="AG193" s="14">
        <v>65849245</v>
      </c>
      <c r="AH193" s="57"/>
      <c r="AI193" s="14">
        <v>-2188980</v>
      </c>
      <c r="AJ193" s="14"/>
      <c r="AK193" s="14"/>
      <c r="AL193" s="14">
        <v>5287465</v>
      </c>
      <c r="AM193" s="14"/>
      <c r="AN193" s="14">
        <v>7296600</v>
      </c>
      <c r="AO193" s="14"/>
      <c r="AP193" s="14">
        <v>7296600</v>
      </c>
      <c r="AQ193" s="14"/>
      <c r="AR193" s="14">
        <v>7296600</v>
      </c>
      <c r="AS193" s="14"/>
      <c r="AT193" s="14">
        <v>7296600</v>
      </c>
      <c r="AU193" s="58"/>
      <c r="AV193" s="25">
        <v>7296600</v>
      </c>
      <c r="AW193" s="58"/>
      <c r="AX193" s="25">
        <v>7296600</v>
      </c>
      <c r="AY193" s="58"/>
      <c r="AZ193" s="25">
        <v>14593200</v>
      </c>
      <c r="BA193" s="59"/>
      <c r="BB193" s="17"/>
      <c r="BC193" s="18">
        <f t="shared" ref="BC193:BD193" si="187">AC193+AE193+AG193+AI193+AK193+AM193+AO193+AQ193+AS193+AU193+AW193+AY193+BA193</f>
        <v>63660265</v>
      </c>
      <c r="BD193" s="18">
        <f t="shared" si="187"/>
        <v>63660265</v>
      </c>
      <c r="BE193" s="20">
        <f t="shared" si="1"/>
        <v>0</v>
      </c>
      <c r="BF193" s="20">
        <f t="shared" si="2"/>
        <v>0</v>
      </c>
      <c r="BG193" s="20">
        <f t="shared" si="3"/>
        <v>0</v>
      </c>
    </row>
    <row r="194" spans="1:59" ht="14.25" customHeight="1">
      <c r="A194" s="147" t="s">
        <v>59</v>
      </c>
      <c r="B194" s="147" t="s">
        <v>523</v>
      </c>
      <c r="C194" s="151" t="s">
        <v>524</v>
      </c>
      <c r="D194" s="151" t="s">
        <v>62</v>
      </c>
      <c r="E194" s="151">
        <v>15</v>
      </c>
      <c r="F194" s="149" t="s">
        <v>591</v>
      </c>
      <c r="G194" s="147" t="s">
        <v>526</v>
      </c>
      <c r="H194" s="147" t="s">
        <v>527</v>
      </c>
      <c r="I194" s="147" t="s">
        <v>528</v>
      </c>
      <c r="J194" s="164">
        <v>80111620</v>
      </c>
      <c r="K194" s="147" t="s">
        <v>529</v>
      </c>
      <c r="L194" s="147" t="s">
        <v>83</v>
      </c>
      <c r="M194" s="147" t="s">
        <v>592</v>
      </c>
      <c r="N194" s="147" t="s">
        <v>85</v>
      </c>
      <c r="O194" s="147" t="s">
        <v>85</v>
      </c>
      <c r="P194" s="147" t="s">
        <v>86</v>
      </c>
      <c r="Q194" s="147">
        <v>10</v>
      </c>
      <c r="R194" s="147" t="s">
        <v>72</v>
      </c>
      <c r="S194" s="147" t="s">
        <v>73</v>
      </c>
      <c r="T194" s="147" t="s">
        <v>74</v>
      </c>
      <c r="U194" s="148">
        <v>7116755</v>
      </c>
      <c r="V194" s="148">
        <v>7116755</v>
      </c>
      <c r="W194" s="147" t="s">
        <v>75</v>
      </c>
      <c r="X194" s="147" t="s">
        <v>67</v>
      </c>
      <c r="Y194" s="147" t="s">
        <v>531</v>
      </c>
      <c r="Z194" s="147" t="s">
        <v>532</v>
      </c>
      <c r="AA194" s="147">
        <v>6012220601</v>
      </c>
      <c r="AB194" s="160" t="s">
        <v>533</v>
      </c>
      <c r="AC194" s="14"/>
      <c r="AD194" s="57"/>
      <c r="AE194" s="14"/>
      <c r="AF194" s="57"/>
      <c r="AG194" s="14">
        <v>7116755</v>
      </c>
      <c r="AH194" s="57"/>
      <c r="AI194" s="14"/>
      <c r="AJ194" s="14">
        <v>5107620</v>
      </c>
      <c r="AK194" s="14"/>
      <c r="AL194" s="14">
        <v>2009135</v>
      </c>
      <c r="AM194" s="14"/>
      <c r="AN194" s="14"/>
      <c r="AO194" s="14"/>
      <c r="AP194" s="14"/>
      <c r="AQ194" s="14"/>
      <c r="AR194" s="14"/>
      <c r="AS194" s="14"/>
      <c r="AT194" s="14"/>
      <c r="AU194" s="58"/>
      <c r="AV194" s="25"/>
      <c r="AW194" s="58"/>
      <c r="AX194" s="25"/>
      <c r="AY194" s="58"/>
      <c r="AZ194" s="25"/>
      <c r="BA194" s="59"/>
      <c r="BB194" s="17"/>
      <c r="BC194" s="18">
        <f t="shared" ref="BC194:BD194" si="188">AC194+AE194+AG194+AI194+AK194+AM194+AO194+AQ194+AS194+AU194+AW194+AY194+BA194</f>
        <v>7116755</v>
      </c>
      <c r="BD194" s="18">
        <f t="shared" si="188"/>
        <v>7116755</v>
      </c>
      <c r="BE194" s="20">
        <f t="shared" si="1"/>
        <v>0</v>
      </c>
      <c r="BF194" s="20">
        <f t="shared" si="2"/>
        <v>0</v>
      </c>
      <c r="BG194" s="20">
        <f t="shared" si="3"/>
        <v>0</v>
      </c>
    </row>
    <row r="195" spans="1:59" ht="14.25" customHeight="1">
      <c r="A195" s="147" t="s">
        <v>59</v>
      </c>
      <c r="B195" s="147" t="s">
        <v>523</v>
      </c>
      <c r="C195" s="151" t="s">
        <v>524</v>
      </c>
      <c r="D195" s="151" t="s">
        <v>62</v>
      </c>
      <c r="E195" s="151">
        <v>6</v>
      </c>
      <c r="F195" s="149" t="s">
        <v>593</v>
      </c>
      <c r="G195" s="147" t="s">
        <v>583</v>
      </c>
      <c r="H195" s="147" t="s">
        <v>584</v>
      </c>
      <c r="I195" s="147" t="s">
        <v>589</v>
      </c>
      <c r="J195" s="164">
        <v>80111620</v>
      </c>
      <c r="K195" s="147" t="s">
        <v>586</v>
      </c>
      <c r="L195" s="147" t="s">
        <v>83</v>
      </c>
      <c r="M195" s="147" t="s">
        <v>594</v>
      </c>
      <c r="N195" s="147" t="s">
        <v>91</v>
      </c>
      <c r="O195" s="147" t="s">
        <v>91</v>
      </c>
      <c r="P195" s="147" t="s">
        <v>91</v>
      </c>
      <c r="Q195" s="147">
        <v>11.3</v>
      </c>
      <c r="R195" s="147" t="s">
        <v>72</v>
      </c>
      <c r="S195" s="147" t="s">
        <v>536</v>
      </c>
      <c r="T195" s="147" t="s">
        <v>74</v>
      </c>
      <c r="U195" s="148">
        <v>92202533</v>
      </c>
      <c r="V195" s="148">
        <v>92202533</v>
      </c>
      <c r="W195" s="147" t="s">
        <v>75</v>
      </c>
      <c r="X195" s="147" t="s">
        <v>67</v>
      </c>
      <c r="Y195" s="147" t="s">
        <v>531</v>
      </c>
      <c r="Z195" s="147" t="s">
        <v>532</v>
      </c>
      <c r="AA195" s="147">
        <v>6012220601</v>
      </c>
      <c r="AB195" s="160" t="s">
        <v>533</v>
      </c>
      <c r="AC195" s="14">
        <v>88367016</v>
      </c>
      <c r="AD195" s="57"/>
      <c r="AE195" s="14"/>
      <c r="AF195" s="57">
        <v>3671033</v>
      </c>
      <c r="AG195" s="14"/>
      <c r="AH195" s="57">
        <v>7866500</v>
      </c>
      <c r="AI195" s="14">
        <v>3835517</v>
      </c>
      <c r="AJ195" s="14">
        <v>7866500</v>
      </c>
      <c r="AK195" s="14"/>
      <c r="AL195" s="14">
        <v>7866500</v>
      </c>
      <c r="AM195" s="14"/>
      <c r="AN195" s="14">
        <v>7866500</v>
      </c>
      <c r="AO195" s="14"/>
      <c r="AP195" s="14">
        <v>8362175</v>
      </c>
      <c r="AQ195" s="14"/>
      <c r="AR195" s="14">
        <v>7866500</v>
      </c>
      <c r="AS195" s="14"/>
      <c r="AT195" s="14">
        <v>7866500</v>
      </c>
      <c r="AU195" s="58"/>
      <c r="AV195" s="25">
        <v>7866500</v>
      </c>
      <c r="AW195" s="58"/>
      <c r="AX195" s="25">
        <v>7866500</v>
      </c>
      <c r="AY195" s="58"/>
      <c r="AZ195" s="25">
        <f>17733000-495675</f>
        <v>17237325</v>
      </c>
      <c r="BA195" s="59"/>
      <c r="BB195" s="17"/>
      <c r="BC195" s="18">
        <f t="shared" ref="BC195:BD195" si="189">AC195+AE195+AG195+AI195+AK195+AM195+AO195+AQ195+AS195+AU195+AW195+AY195+BA195</f>
        <v>92202533</v>
      </c>
      <c r="BD195" s="18">
        <f t="shared" si="189"/>
        <v>92202533</v>
      </c>
      <c r="BE195" s="20">
        <f t="shared" si="1"/>
        <v>0</v>
      </c>
      <c r="BF195" s="20">
        <f t="shared" si="2"/>
        <v>0</v>
      </c>
      <c r="BG195" s="20">
        <f t="shared" si="3"/>
        <v>0</v>
      </c>
    </row>
    <row r="196" spans="1:59" ht="14.25" customHeight="1">
      <c r="A196" s="147" t="s">
        <v>59</v>
      </c>
      <c r="B196" s="147" t="s">
        <v>523</v>
      </c>
      <c r="C196" s="151" t="s">
        <v>524</v>
      </c>
      <c r="D196" s="151" t="s">
        <v>62</v>
      </c>
      <c r="E196" s="151">
        <v>20</v>
      </c>
      <c r="F196" s="149" t="s">
        <v>595</v>
      </c>
      <c r="G196" s="147" t="s">
        <v>583</v>
      </c>
      <c r="H196" s="147" t="s">
        <v>584</v>
      </c>
      <c r="I196" s="147" t="s">
        <v>589</v>
      </c>
      <c r="J196" s="164">
        <v>80111620</v>
      </c>
      <c r="K196" s="147" t="s">
        <v>586</v>
      </c>
      <c r="L196" s="147" t="s">
        <v>83</v>
      </c>
      <c r="M196" s="147" t="s">
        <v>596</v>
      </c>
      <c r="N196" s="147" t="s">
        <v>91</v>
      </c>
      <c r="O196" s="147" t="s">
        <v>91</v>
      </c>
      <c r="P196" s="165" t="s">
        <v>85</v>
      </c>
      <c r="Q196" s="147">
        <v>11</v>
      </c>
      <c r="R196" s="147" t="s">
        <v>72</v>
      </c>
      <c r="S196" s="147" t="s">
        <v>73</v>
      </c>
      <c r="T196" s="147" t="s">
        <v>74</v>
      </c>
      <c r="U196" s="148">
        <v>87318150</v>
      </c>
      <c r="V196" s="148">
        <v>87318150</v>
      </c>
      <c r="W196" s="147" t="s">
        <v>75</v>
      </c>
      <c r="X196" s="147" t="s">
        <v>67</v>
      </c>
      <c r="Y196" s="147" t="s">
        <v>531</v>
      </c>
      <c r="Z196" s="147" t="s">
        <v>532</v>
      </c>
      <c r="AA196" s="147">
        <v>6012220601</v>
      </c>
      <c r="AB196" s="160" t="s">
        <v>533</v>
      </c>
      <c r="AC196" s="14"/>
      <c r="AD196" s="57"/>
      <c r="AE196" s="14">
        <v>88367017</v>
      </c>
      <c r="AF196" s="57"/>
      <c r="AG196" s="14">
        <v>-1048867</v>
      </c>
      <c r="AH196" s="57">
        <v>6817633</v>
      </c>
      <c r="AI196" s="14"/>
      <c r="AJ196" s="14">
        <v>7866500</v>
      </c>
      <c r="AK196" s="14"/>
      <c r="AL196" s="14">
        <v>7866500</v>
      </c>
      <c r="AM196" s="14"/>
      <c r="AN196" s="14">
        <v>7866500</v>
      </c>
      <c r="AO196" s="14"/>
      <c r="AP196" s="14">
        <v>7866500</v>
      </c>
      <c r="AQ196" s="14"/>
      <c r="AR196" s="14">
        <v>8692625</v>
      </c>
      <c r="AS196" s="14"/>
      <c r="AT196" s="14">
        <v>7866500</v>
      </c>
      <c r="AU196" s="61"/>
      <c r="AV196" s="15">
        <v>7866500</v>
      </c>
      <c r="AW196" s="61"/>
      <c r="AX196" s="15">
        <v>7866500</v>
      </c>
      <c r="AY196" s="61"/>
      <c r="AZ196" s="15">
        <f>17568517-826125</f>
        <v>16742392</v>
      </c>
      <c r="BA196" s="59"/>
      <c r="BB196" s="17"/>
      <c r="BC196" s="18">
        <f t="shared" ref="BC196:BD196" si="190">AC196+AE196+AG196+AI196+AK196+AM196+AO196+AQ196+AS196+AU196+AW196+AY196+BA196</f>
        <v>87318150</v>
      </c>
      <c r="BD196" s="18">
        <f t="shared" si="190"/>
        <v>87318150</v>
      </c>
      <c r="BE196" s="20">
        <f t="shared" si="1"/>
        <v>0</v>
      </c>
      <c r="BF196" s="20">
        <f t="shared" si="2"/>
        <v>0</v>
      </c>
      <c r="BG196" s="20">
        <f t="shared" si="3"/>
        <v>0</v>
      </c>
    </row>
    <row r="197" spans="1:59" ht="14.25" customHeight="1">
      <c r="A197" s="147" t="s">
        <v>59</v>
      </c>
      <c r="B197" s="147" t="s">
        <v>523</v>
      </c>
      <c r="C197" s="151" t="s">
        <v>524</v>
      </c>
      <c r="D197" s="151" t="s">
        <v>62</v>
      </c>
      <c r="E197" s="151">
        <v>20</v>
      </c>
      <c r="F197" s="149" t="s">
        <v>597</v>
      </c>
      <c r="G197" s="147" t="s">
        <v>583</v>
      </c>
      <c r="H197" s="147" t="s">
        <v>584</v>
      </c>
      <c r="I197" s="147" t="s">
        <v>589</v>
      </c>
      <c r="J197" s="164">
        <v>80111620</v>
      </c>
      <c r="K197" s="147" t="s">
        <v>586</v>
      </c>
      <c r="L197" s="147" t="s">
        <v>83</v>
      </c>
      <c r="M197" s="147" t="s">
        <v>598</v>
      </c>
      <c r="N197" s="147" t="s">
        <v>91</v>
      </c>
      <c r="O197" s="147" t="s">
        <v>91</v>
      </c>
      <c r="P197" s="165" t="s">
        <v>85</v>
      </c>
      <c r="Q197" s="147">
        <v>11</v>
      </c>
      <c r="R197" s="147" t="s">
        <v>72</v>
      </c>
      <c r="S197" s="147" t="s">
        <v>73</v>
      </c>
      <c r="T197" s="147" t="s">
        <v>74</v>
      </c>
      <c r="U197" s="148">
        <v>86958200</v>
      </c>
      <c r="V197" s="148">
        <v>86958200</v>
      </c>
      <c r="W197" s="147" t="s">
        <v>75</v>
      </c>
      <c r="X197" s="147" t="s">
        <v>67</v>
      </c>
      <c r="Y197" s="147" t="s">
        <v>531</v>
      </c>
      <c r="Z197" s="147" t="s">
        <v>532</v>
      </c>
      <c r="AA197" s="147">
        <v>6012220601</v>
      </c>
      <c r="AB197" s="160" t="s">
        <v>533</v>
      </c>
      <c r="AC197" s="14"/>
      <c r="AD197" s="57"/>
      <c r="AE197" s="14">
        <v>87482633</v>
      </c>
      <c r="AF197" s="57"/>
      <c r="AG197" s="14">
        <v>-524433</v>
      </c>
      <c r="AH197" s="57">
        <v>6293200</v>
      </c>
      <c r="AI197" s="14"/>
      <c r="AJ197" s="14">
        <v>7866500</v>
      </c>
      <c r="AK197" s="14"/>
      <c r="AL197" s="14">
        <v>7866500</v>
      </c>
      <c r="AM197" s="14"/>
      <c r="AN197" s="14">
        <v>7866500</v>
      </c>
      <c r="AO197" s="14"/>
      <c r="AP197" s="14">
        <v>7866500</v>
      </c>
      <c r="AQ197" s="14"/>
      <c r="AR197" s="14">
        <v>7866500</v>
      </c>
      <c r="AS197" s="14"/>
      <c r="AT197" s="14">
        <v>8362175</v>
      </c>
      <c r="AU197" s="61"/>
      <c r="AV197" s="15">
        <v>7866500</v>
      </c>
      <c r="AW197" s="61"/>
      <c r="AX197" s="15">
        <v>8866500</v>
      </c>
      <c r="AY197" s="61"/>
      <c r="AZ197" s="15">
        <f>16733000-495675</f>
        <v>16237325</v>
      </c>
      <c r="BA197" s="59"/>
      <c r="BB197" s="17"/>
      <c r="BC197" s="18">
        <f t="shared" ref="BC197:BD197" si="191">AC197+AE197+AG197+AI197+AK197+AM197+AO197+AQ197+AS197+AU197+AW197+AY197+BA197</f>
        <v>86958200</v>
      </c>
      <c r="BD197" s="18">
        <f t="shared" si="191"/>
        <v>86958200</v>
      </c>
      <c r="BE197" s="20">
        <f t="shared" si="1"/>
        <v>0</v>
      </c>
      <c r="BF197" s="20">
        <f t="shared" si="2"/>
        <v>0</v>
      </c>
      <c r="BG197" s="20">
        <f t="shared" si="3"/>
        <v>0</v>
      </c>
    </row>
    <row r="198" spans="1:59" ht="14.25" customHeight="1">
      <c r="A198" s="147" t="s">
        <v>59</v>
      </c>
      <c r="B198" s="147" t="s">
        <v>523</v>
      </c>
      <c r="C198" s="151" t="s">
        <v>524</v>
      </c>
      <c r="D198" s="151" t="s">
        <v>62</v>
      </c>
      <c r="E198" s="151">
        <v>6</v>
      </c>
      <c r="F198" s="149" t="s">
        <v>599</v>
      </c>
      <c r="G198" s="147" t="s">
        <v>583</v>
      </c>
      <c r="H198" s="147" t="s">
        <v>584</v>
      </c>
      <c r="I198" s="147" t="s">
        <v>589</v>
      </c>
      <c r="J198" s="164">
        <v>80111620</v>
      </c>
      <c r="K198" s="147" t="s">
        <v>586</v>
      </c>
      <c r="L198" s="147" t="s">
        <v>83</v>
      </c>
      <c r="M198" s="147" t="s">
        <v>600</v>
      </c>
      <c r="N198" s="147" t="s">
        <v>91</v>
      </c>
      <c r="O198" s="147" t="s">
        <v>91</v>
      </c>
      <c r="P198" s="165" t="s">
        <v>85</v>
      </c>
      <c r="Q198" s="147">
        <v>11</v>
      </c>
      <c r="R198" s="147" t="s">
        <v>72</v>
      </c>
      <c r="S198" s="147" t="s">
        <v>73</v>
      </c>
      <c r="T198" s="147" t="s">
        <v>74</v>
      </c>
      <c r="U198" s="148">
        <v>79046500</v>
      </c>
      <c r="V198" s="148">
        <v>79046500</v>
      </c>
      <c r="W198" s="147" t="s">
        <v>75</v>
      </c>
      <c r="X198" s="147" t="s">
        <v>67</v>
      </c>
      <c r="Y198" s="147" t="s">
        <v>531</v>
      </c>
      <c r="Z198" s="147" t="s">
        <v>532</v>
      </c>
      <c r="AA198" s="147">
        <v>6012220601</v>
      </c>
      <c r="AB198" s="160" t="s">
        <v>533</v>
      </c>
      <c r="AC198" s="14"/>
      <c r="AD198" s="57"/>
      <c r="AE198" s="14">
        <v>79046500</v>
      </c>
      <c r="AF198" s="57"/>
      <c r="AG198" s="14"/>
      <c r="AH198" s="57">
        <v>6080500</v>
      </c>
      <c r="AI198" s="14"/>
      <c r="AJ198" s="14">
        <v>7296600</v>
      </c>
      <c r="AK198" s="14"/>
      <c r="AL198" s="14">
        <v>7296600</v>
      </c>
      <c r="AM198" s="14"/>
      <c r="AN198" s="14">
        <v>7296600</v>
      </c>
      <c r="AO198" s="14"/>
      <c r="AP198" s="14">
        <v>7296600</v>
      </c>
      <c r="AQ198" s="14"/>
      <c r="AR198" s="14">
        <v>7296600</v>
      </c>
      <c r="AS198" s="14"/>
      <c r="AT198" s="14">
        <v>7296600</v>
      </c>
      <c r="AU198" s="61"/>
      <c r="AV198" s="15">
        <v>7296600</v>
      </c>
      <c r="AW198" s="61"/>
      <c r="AX198" s="15">
        <v>7296600</v>
      </c>
      <c r="AY198" s="61"/>
      <c r="AZ198" s="15">
        <v>14593200</v>
      </c>
      <c r="BA198" s="59"/>
      <c r="BB198" s="17"/>
      <c r="BC198" s="18">
        <f t="shared" ref="BC198:BD198" si="192">AC198+AE198+AG198+AI198+AK198+AM198+AO198+AQ198+AS198+AU198+AW198+AY198+BA198</f>
        <v>79046500</v>
      </c>
      <c r="BD198" s="18">
        <f t="shared" si="192"/>
        <v>79046500</v>
      </c>
      <c r="BE198" s="20">
        <f t="shared" si="1"/>
        <v>0</v>
      </c>
      <c r="BF198" s="20">
        <f t="shared" si="2"/>
        <v>0</v>
      </c>
      <c r="BG198" s="20">
        <f t="shared" si="3"/>
        <v>0</v>
      </c>
    </row>
    <row r="199" spans="1:59" ht="14.25" customHeight="1">
      <c r="A199" s="147" t="s">
        <v>59</v>
      </c>
      <c r="B199" s="147" t="s">
        <v>523</v>
      </c>
      <c r="C199" s="151" t="s">
        <v>524</v>
      </c>
      <c r="D199" s="151" t="s">
        <v>62</v>
      </c>
      <c r="E199" s="151">
        <v>20</v>
      </c>
      <c r="F199" s="149" t="s">
        <v>601</v>
      </c>
      <c r="G199" s="147" t="s">
        <v>583</v>
      </c>
      <c r="H199" s="147" t="s">
        <v>584</v>
      </c>
      <c r="I199" s="147" t="s">
        <v>589</v>
      </c>
      <c r="J199" s="164">
        <v>80111620</v>
      </c>
      <c r="K199" s="147" t="s">
        <v>586</v>
      </c>
      <c r="L199" s="147" t="s">
        <v>83</v>
      </c>
      <c r="M199" s="147" t="s">
        <v>602</v>
      </c>
      <c r="N199" s="147" t="s">
        <v>91</v>
      </c>
      <c r="O199" s="147" t="s">
        <v>91</v>
      </c>
      <c r="P199" s="165" t="s">
        <v>85</v>
      </c>
      <c r="Q199" s="149">
        <v>11</v>
      </c>
      <c r="R199" s="147" t="s">
        <v>72</v>
      </c>
      <c r="S199" s="147" t="s">
        <v>73</v>
      </c>
      <c r="T199" s="147" t="s">
        <v>74</v>
      </c>
      <c r="U199" s="148">
        <v>78803280</v>
      </c>
      <c r="V199" s="148">
        <v>78803280</v>
      </c>
      <c r="W199" s="147" t="s">
        <v>75</v>
      </c>
      <c r="X199" s="147" t="s">
        <v>67</v>
      </c>
      <c r="Y199" s="147" t="s">
        <v>531</v>
      </c>
      <c r="Z199" s="147" t="s">
        <v>532</v>
      </c>
      <c r="AA199" s="147">
        <v>6012220601</v>
      </c>
      <c r="AB199" s="160" t="s">
        <v>533</v>
      </c>
      <c r="AC199" s="14"/>
      <c r="AD199" s="57"/>
      <c r="AE199" s="14">
        <v>79046500</v>
      </c>
      <c r="AF199" s="57"/>
      <c r="AG199" s="14">
        <v>-243220</v>
      </c>
      <c r="AH199" s="57">
        <v>5837280</v>
      </c>
      <c r="AI199" s="14"/>
      <c r="AJ199" s="14">
        <v>7296600</v>
      </c>
      <c r="AK199" s="14"/>
      <c r="AL199" s="14">
        <v>7296600</v>
      </c>
      <c r="AM199" s="14"/>
      <c r="AN199" s="14">
        <v>7296600</v>
      </c>
      <c r="AO199" s="14"/>
      <c r="AP199" s="14">
        <v>7296600</v>
      </c>
      <c r="AQ199" s="14"/>
      <c r="AR199" s="14">
        <v>7296600</v>
      </c>
      <c r="AS199" s="14"/>
      <c r="AT199" s="14">
        <v>7296600</v>
      </c>
      <c r="AU199" s="61"/>
      <c r="AV199" s="15">
        <v>7296600</v>
      </c>
      <c r="AW199" s="61"/>
      <c r="AX199" s="15">
        <v>7296600</v>
      </c>
      <c r="AY199" s="61"/>
      <c r="AZ199" s="15">
        <v>14593200</v>
      </c>
      <c r="BA199" s="59"/>
      <c r="BB199" s="17"/>
      <c r="BC199" s="18">
        <f t="shared" ref="BC199:BD199" si="193">AC199+AE199+AG199+AI199+AK199+AM199+AO199+AQ199+AS199+AU199+AW199+AY199+BA199</f>
        <v>78803280</v>
      </c>
      <c r="BD199" s="18">
        <f t="shared" si="193"/>
        <v>78803280</v>
      </c>
      <c r="BE199" s="20">
        <f t="shared" si="1"/>
        <v>0</v>
      </c>
      <c r="BF199" s="20">
        <f t="shared" si="2"/>
        <v>0</v>
      </c>
      <c r="BG199" s="20">
        <f t="shared" si="3"/>
        <v>0</v>
      </c>
    </row>
    <row r="200" spans="1:59" ht="14.25" customHeight="1">
      <c r="A200" s="147" t="s">
        <v>59</v>
      </c>
      <c r="B200" s="147" t="s">
        <v>523</v>
      </c>
      <c r="C200" s="151" t="s">
        <v>524</v>
      </c>
      <c r="D200" s="151" t="s">
        <v>62</v>
      </c>
      <c r="E200" s="151">
        <v>6</v>
      </c>
      <c r="F200" s="149" t="s">
        <v>603</v>
      </c>
      <c r="G200" s="147" t="s">
        <v>583</v>
      </c>
      <c r="H200" s="147" t="s">
        <v>584</v>
      </c>
      <c r="I200" s="147" t="s">
        <v>589</v>
      </c>
      <c r="J200" s="164">
        <v>80111620</v>
      </c>
      <c r="K200" s="147" t="s">
        <v>586</v>
      </c>
      <c r="L200" s="147" t="s">
        <v>83</v>
      </c>
      <c r="M200" s="147" t="s">
        <v>604</v>
      </c>
      <c r="N200" s="147" t="s">
        <v>91</v>
      </c>
      <c r="O200" s="147" t="s">
        <v>91</v>
      </c>
      <c r="P200" s="165" t="s">
        <v>85</v>
      </c>
      <c r="Q200" s="147">
        <v>11</v>
      </c>
      <c r="R200" s="147" t="s">
        <v>72</v>
      </c>
      <c r="S200" s="147" t="s">
        <v>73</v>
      </c>
      <c r="T200" s="147" t="s">
        <v>74</v>
      </c>
      <c r="U200" s="148">
        <v>79046500</v>
      </c>
      <c r="V200" s="148">
        <v>79046500</v>
      </c>
      <c r="W200" s="147" t="s">
        <v>75</v>
      </c>
      <c r="X200" s="147" t="s">
        <v>67</v>
      </c>
      <c r="Y200" s="147" t="s">
        <v>531</v>
      </c>
      <c r="Z200" s="147" t="s">
        <v>532</v>
      </c>
      <c r="AA200" s="147">
        <v>6012220601</v>
      </c>
      <c r="AB200" s="160" t="s">
        <v>533</v>
      </c>
      <c r="AC200" s="14"/>
      <c r="AD200" s="57"/>
      <c r="AE200" s="14">
        <v>79046500</v>
      </c>
      <c r="AF200" s="57"/>
      <c r="AG200" s="14"/>
      <c r="AH200" s="57">
        <v>6080500</v>
      </c>
      <c r="AI200" s="14"/>
      <c r="AJ200" s="14">
        <v>7296600</v>
      </c>
      <c r="AK200" s="14"/>
      <c r="AL200" s="14">
        <v>7296600</v>
      </c>
      <c r="AM200" s="14"/>
      <c r="AN200" s="14">
        <v>7296600</v>
      </c>
      <c r="AO200" s="14"/>
      <c r="AP200" s="14">
        <v>7296600</v>
      </c>
      <c r="AQ200" s="14"/>
      <c r="AR200" s="14">
        <v>7296600</v>
      </c>
      <c r="AS200" s="14">
        <v>0</v>
      </c>
      <c r="AT200" s="14">
        <v>7296600</v>
      </c>
      <c r="AU200" s="61"/>
      <c r="AV200" s="15">
        <v>7296600</v>
      </c>
      <c r="AW200" s="61"/>
      <c r="AX200" s="15">
        <v>7296600</v>
      </c>
      <c r="AY200" s="61"/>
      <c r="AZ200" s="15">
        <v>14593200</v>
      </c>
      <c r="BA200" s="59"/>
      <c r="BB200" s="17"/>
      <c r="BC200" s="18">
        <f t="shared" ref="BC200:BD200" si="194">AC200+AE200+AG200+AI200+AK200+AM200+AO200+AQ200+AS200+AU200+AW200+AY200+BA200</f>
        <v>79046500</v>
      </c>
      <c r="BD200" s="18">
        <f t="shared" si="194"/>
        <v>79046500</v>
      </c>
      <c r="BE200" s="20">
        <f t="shared" si="1"/>
        <v>0</v>
      </c>
      <c r="BF200" s="20">
        <f t="shared" si="2"/>
        <v>0</v>
      </c>
      <c r="BG200" s="20">
        <f t="shared" si="3"/>
        <v>0</v>
      </c>
    </row>
    <row r="201" spans="1:59" ht="14.25" customHeight="1">
      <c r="A201" s="147" t="s">
        <v>59</v>
      </c>
      <c r="B201" s="147" t="s">
        <v>523</v>
      </c>
      <c r="C201" s="151" t="s">
        <v>524</v>
      </c>
      <c r="D201" s="151" t="s">
        <v>62</v>
      </c>
      <c r="E201" s="151">
        <v>6</v>
      </c>
      <c r="F201" s="149" t="s">
        <v>605</v>
      </c>
      <c r="G201" s="147" t="s">
        <v>526</v>
      </c>
      <c r="H201" s="147" t="s">
        <v>527</v>
      </c>
      <c r="I201" s="147" t="s">
        <v>528</v>
      </c>
      <c r="J201" s="164">
        <v>80111620</v>
      </c>
      <c r="K201" s="147" t="s">
        <v>529</v>
      </c>
      <c r="L201" s="147" t="s">
        <v>83</v>
      </c>
      <c r="M201" s="147" t="s">
        <v>606</v>
      </c>
      <c r="N201" s="147" t="s">
        <v>85</v>
      </c>
      <c r="O201" s="147" t="s">
        <v>85</v>
      </c>
      <c r="P201" s="147" t="s">
        <v>85</v>
      </c>
      <c r="Q201" s="147">
        <v>10</v>
      </c>
      <c r="R201" s="147" t="s">
        <v>72</v>
      </c>
      <c r="S201" s="147" t="s">
        <v>73</v>
      </c>
      <c r="T201" s="147" t="s">
        <v>74</v>
      </c>
      <c r="U201" s="148">
        <v>85000000</v>
      </c>
      <c r="V201" s="148">
        <v>85000000</v>
      </c>
      <c r="W201" s="147" t="s">
        <v>75</v>
      </c>
      <c r="X201" s="147" t="s">
        <v>67</v>
      </c>
      <c r="Y201" s="147" t="s">
        <v>531</v>
      </c>
      <c r="Z201" s="147" t="s">
        <v>532</v>
      </c>
      <c r="AA201" s="147">
        <v>6012220601</v>
      </c>
      <c r="AB201" s="160" t="s">
        <v>533</v>
      </c>
      <c r="AC201" s="14"/>
      <c r="AD201" s="57"/>
      <c r="AE201" s="14">
        <v>85000000</v>
      </c>
      <c r="AF201" s="57"/>
      <c r="AG201" s="14"/>
      <c r="AH201" s="57">
        <v>1416667</v>
      </c>
      <c r="AI201" s="14"/>
      <c r="AJ201" s="14">
        <v>8500000</v>
      </c>
      <c r="AK201" s="14"/>
      <c r="AL201" s="14">
        <v>8500000</v>
      </c>
      <c r="AM201" s="14"/>
      <c r="AN201" s="14">
        <v>8500000</v>
      </c>
      <c r="AO201" s="14"/>
      <c r="AP201" s="14">
        <v>8500000</v>
      </c>
      <c r="AQ201" s="14"/>
      <c r="AR201" s="14">
        <v>8500000</v>
      </c>
      <c r="AS201" s="14"/>
      <c r="AT201" s="14">
        <v>8500000</v>
      </c>
      <c r="AU201" s="58"/>
      <c r="AV201" s="25">
        <v>8500000</v>
      </c>
      <c r="AW201" s="58"/>
      <c r="AX201" s="25">
        <v>8500000</v>
      </c>
      <c r="AY201" s="58"/>
      <c r="AZ201" s="25">
        <f>17000000-1416667</f>
        <v>15583333</v>
      </c>
      <c r="BA201" s="59"/>
      <c r="BB201" s="17"/>
      <c r="BC201" s="18">
        <f t="shared" ref="BC201:BD201" si="195">AC201+AE201+AG201+AI201+AK201+AM201+AO201+AQ201+AS201+AU201+AW201+AY201+BA201</f>
        <v>85000000</v>
      </c>
      <c r="BD201" s="18">
        <f t="shared" si="195"/>
        <v>85000000</v>
      </c>
      <c r="BE201" s="20">
        <f t="shared" si="1"/>
        <v>0</v>
      </c>
      <c r="BF201" s="20">
        <f t="shared" si="2"/>
        <v>0</v>
      </c>
      <c r="BG201" s="20">
        <f t="shared" si="3"/>
        <v>0</v>
      </c>
    </row>
    <row r="202" spans="1:59" ht="14.25" customHeight="1">
      <c r="A202" s="147" t="s">
        <v>59</v>
      </c>
      <c r="B202" s="147" t="s">
        <v>523</v>
      </c>
      <c r="C202" s="151" t="s">
        <v>524</v>
      </c>
      <c r="D202" s="151" t="s">
        <v>62</v>
      </c>
      <c r="E202" s="151">
        <v>44</v>
      </c>
      <c r="F202" s="149" t="s">
        <v>607</v>
      </c>
      <c r="G202" s="147" t="s">
        <v>526</v>
      </c>
      <c r="H202" s="147" t="s">
        <v>527</v>
      </c>
      <c r="I202" s="147" t="s">
        <v>528</v>
      </c>
      <c r="J202" s="164">
        <v>80111620</v>
      </c>
      <c r="K202" s="147" t="s">
        <v>529</v>
      </c>
      <c r="L202" s="147" t="s">
        <v>83</v>
      </c>
      <c r="M202" s="147" t="s">
        <v>608</v>
      </c>
      <c r="N202" s="147" t="s">
        <v>91</v>
      </c>
      <c r="O202" s="147" t="s">
        <v>91</v>
      </c>
      <c r="P202" s="165" t="s">
        <v>91</v>
      </c>
      <c r="Q202" s="147">
        <v>11</v>
      </c>
      <c r="R202" s="147" t="s">
        <v>72</v>
      </c>
      <c r="S202" s="147" t="s">
        <v>73</v>
      </c>
      <c r="T202" s="147" t="s">
        <v>74</v>
      </c>
      <c r="U202" s="148">
        <v>47005760</v>
      </c>
      <c r="V202" s="148">
        <v>47005760</v>
      </c>
      <c r="W202" s="147" t="s">
        <v>75</v>
      </c>
      <c r="X202" s="147" t="s">
        <v>67</v>
      </c>
      <c r="Y202" s="147" t="s">
        <v>531</v>
      </c>
      <c r="Z202" s="147" t="s">
        <v>532</v>
      </c>
      <c r="AA202" s="147">
        <v>6012220601</v>
      </c>
      <c r="AB202" s="160" t="s">
        <v>533</v>
      </c>
      <c r="AC202" s="14"/>
      <c r="AD202" s="57"/>
      <c r="AE202" s="14">
        <v>66811333</v>
      </c>
      <c r="AF202" s="57"/>
      <c r="AG202" s="14">
        <v>-205573</v>
      </c>
      <c r="AH202" s="57">
        <v>4933760</v>
      </c>
      <c r="AI202" s="14"/>
      <c r="AJ202" s="14">
        <v>6167200</v>
      </c>
      <c r="AK202" s="14"/>
      <c r="AL202" s="14">
        <v>6167200</v>
      </c>
      <c r="AM202" s="14"/>
      <c r="AN202" s="14">
        <v>6167200</v>
      </c>
      <c r="AO202" s="14"/>
      <c r="AP202" s="14">
        <v>6167200</v>
      </c>
      <c r="AQ202" s="14"/>
      <c r="AR202" s="14">
        <v>6167200</v>
      </c>
      <c r="AS202" s="14">
        <v>-23640933</v>
      </c>
      <c r="AT202" s="14">
        <v>6167200</v>
      </c>
      <c r="AU202" s="61"/>
      <c r="AV202" s="15"/>
      <c r="AW202" s="61">
        <f>4246506-205573</f>
        <v>4040933</v>
      </c>
      <c r="AX202" s="15"/>
      <c r="AY202" s="61"/>
      <c r="AZ202" s="15">
        <v>5068800</v>
      </c>
      <c r="BA202" s="59"/>
      <c r="BB202" s="17"/>
      <c r="BC202" s="18">
        <f t="shared" ref="BC202:BD202" si="196">AC202+AE202+AG202+AI202+AK202+AM202+AO202+AQ202+AS202+AU202+AW202+AY202+BA202</f>
        <v>47005760</v>
      </c>
      <c r="BD202" s="18">
        <f t="shared" si="196"/>
        <v>47005760</v>
      </c>
      <c r="BE202" s="20">
        <f t="shared" si="1"/>
        <v>0</v>
      </c>
      <c r="BF202" s="20">
        <f t="shared" si="2"/>
        <v>0</v>
      </c>
      <c r="BG202" s="20">
        <f t="shared" si="3"/>
        <v>0</v>
      </c>
    </row>
    <row r="203" spans="1:59" ht="14.25" customHeight="1">
      <c r="A203" s="147" t="s">
        <v>59</v>
      </c>
      <c r="B203" s="147" t="s">
        <v>523</v>
      </c>
      <c r="C203" s="151" t="s">
        <v>524</v>
      </c>
      <c r="D203" s="151" t="s">
        <v>62</v>
      </c>
      <c r="E203" s="151" t="s">
        <v>114</v>
      </c>
      <c r="F203" s="149" t="s">
        <v>609</v>
      </c>
      <c r="G203" s="147" t="s">
        <v>526</v>
      </c>
      <c r="H203" s="147" t="s">
        <v>527</v>
      </c>
      <c r="I203" s="147" t="s">
        <v>528</v>
      </c>
      <c r="J203" s="164">
        <v>81112501</v>
      </c>
      <c r="K203" s="147" t="s">
        <v>529</v>
      </c>
      <c r="L203" s="147" t="s">
        <v>145</v>
      </c>
      <c r="M203" s="147" t="s">
        <v>610</v>
      </c>
      <c r="N203" s="147" t="s">
        <v>71</v>
      </c>
      <c r="O203" s="147" t="s">
        <v>71</v>
      </c>
      <c r="P203" s="149" t="s">
        <v>180</v>
      </c>
      <c r="Q203" s="147">
        <v>12</v>
      </c>
      <c r="R203" s="147" t="s">
        <v>72</v>
      </c>
      <c r="S203" s="147" t="s">
        <v>129</v>
      </c>
      <c r="T203" s="147" t="s">
        <v>74</v>
      </c>
      <c r="U203" s="148">
        <v>355936690</v>
      </c>
      <c r="V203" s="148">
        <v>355936690</v>
      </c>
      <c r="W203" s="147" t="s">
        <v>75</v>
      </c>
      <c r="X203" s="147" t="s">
        <v>67</v>
      </c>
      <c r="Y203" s="147" t="s">
        <v>531</v>
      </c>
      <c r="Z203" s="147" t="s">
        <v>532</v>
      </c>
      <c r="AA203" s="147">
        <v>6012220601</v>
      </c>
      <c r="AB203" s="160" t="s">
        <v>533</v>
      </c>
      <c r="AC203" s="14"/>
      <c r="AD203" s="57"/>
      <c r="AE203" s="14"/>
      <c r="AF203" s="57"/>
      <c r="AG203" s="14"/>
      <c r="AH203" s="57"/>
      <c r="AI203" s="14"/>
      <c r="AJ203" s="14"/>
      <c r="AK203" s="14"/>
      <c r="AL203" s="14"/>
      <c r="AM203" s="14"/>
      <c r="AN203" s="14"/>
      <c r="AO203" s="14"/>
      <c r="AP203" s="14"/>
      <c r="AQ203" s="14"/>
      <c r="AR203" s="14"/>
      <c r="AS203" s="14"/>
      <c r="AT203" s="14"/>
      <c r="AU203" s="64">
        <v>355936690</v>
      </c>
      <c r="AV203" s="25">
        <v>355936690</v>
      </c>
      <c r="AW203" s="58"/>
      <c r="AX203" s="25"/>
      <c r="AY203" s="58"/>
      <c r="AZ203" s="25"/>
      <c r="BA203" s="59"/>
      <c r="BB203" s="17"/>
      <c r="BC203" s="18">
        <f t="shared" ref="BC203:BD203" si="197">AC203+AE203+AG203+AI203+AK203+AM203+AO203+AQ203+AS203+AU203+AW203+AY203+BA203</f>
        <v>355936690</v>
      </c>
      <c r="BD203" s="18">
        <f t="shared" si="197"/>
        <v>355936690</v>
      </c>
      <c r="BE203" s="20">
        <f t="shared" si="1"/>
        <v>0</v>
      </c>
      <c r="BF203" s="20">
        <f t="shared" si="2"/>
        <v>0</v>
      </c>
      <c r="BG203" s="20">
        <f t="shared" si="3"/>
        <v>0</v>
      </c>
    </row>
    <row r="204" spans="1:59" ht="14.25" customHeight="1">
      <c r="A204" s="147" t="s">
        <v>59</v>
      </c>
      <c r="B204" s="147" t="s">
        <v>523</v>
      </c>
      <c r="C204" s="151" t="s">
        <v>524</v>
      </c>
      <c r="D204" s="151" t="s">
        <v>62</v>
      </c>
      <c r="E204" s="151">
        <v>39</v>
      </c>
      <c r="F204" s="149" t="s">
        <v>611</v>
      </c>
      <c r="G204" s="147" t="s">
        <v>526</v>
      </c>
      <c r="H204" s="147" t="s">
        <v>527</v>
      </c>
      <c r="I204" s="147" t="s">
        <v>528</v>
      </c>
      <c r="J204" s="164">
        <v>81112501</v>
      </c>
      <c r="K204" s="147" t="s">
        <v>529</v>
      </c>
      <c r="L204" s="147" t="s">
        <v>248</v>
      </c>
      <c r="M204" s="147" t="s">
        <v>612</v>
      </c>
      <c r="N204" s="147" t="s">
        <v>86</v>
      </c>
      <c r="O204" s="147" t="s">
        <v>86</v>
      </c>
      <c r="P204" s="147" t="s">
        <v>99</v>
      </c>
      <c r="Q204" s="147">
        <v>12</v>
      </c>
      <c r="R204" s="147" t="s">
        <v>72</v>
      </c>
      <c r="S204" s="147" t="s">
        <v>129</v>
      </c>
      <c r="T204" s="147" t="s">
        <v>74</v>
      </c>
      <c r="U204" s="148">
        <v>615975043</v>
      </c>
      <c r="V204" s="148">
        <v>615975043</v>
      </c>
      <c r="W204" s="147" t="s">
        <v>75</v>
      </c>
      <c r="X204" s="147" t="s">
        <v>67</v>
      </c>
      <c r="Y204" s="147" t="s">
        <v>531</v>
      </c>
      <c r="Z204" s="147" t="s">
        <v>532</v>
      </c>
      <c r="AA204" s="147">
        <v>6012220601</v>
      </c>
      <c r="AB204" s="160" t="s">
        <v>533</v>
      </c>
      <c r="AC204" s="14"/>
      <c r="AD204" s="57"/>
      <c r="AE204" s="14"/>
      <c r="AF204" s="57"/>
      <c r="AG204" s="14"/>
      <c r="AH204" s="57"/>
      <c r="AI204" s="14">
        <v>688481282</v>
      </c>
      <c r="AJ204" s="14"/>
      <c r="AK204" s="14"/>
      <c r="AL204" s="14"/>
      <c r="AM204" s="14"/>
      <c r="AN204" s="14"/>
      <c r="AO204" s="14"/>
      <c r="AP204" s="14">
        <v>615975042.52999997</v>
      </c>
      <c r="AQ204" s="14">
        <v>-72506239.469999999</v>
      </c>
      <c r="AR204" s="14"/>
      <c r="AS204" s="14"/>
      <c r="AT204" s="14"/>
      <c r="AU204" s="58"/>
      <c r="AV204" s="25"/>
      <c r="AW204" s="58"/>
      <c r="AX204" s="25"/>
      <c r="AY204" s="32"/>
      <c r="AZ204" s="29"/>
      <c r="BA204" s="60">
        <v>0.47</v>
      </c>
      <c r="BB204" s="65">
        <v>0.47</v>
      </c>
      <c r="BC204" s="18">
        <f t="shared" ref="BC204:BD204" si="198">AC204+AE204+AG204+AI204+AK204+AM204+AO204+AQ204+AS204+AU204+AW204+AY204+BA204</f>
        <v>615975043</v>
      </c>
      <c r="BD204" s="18">
        <f t="shared" si="198"/>
        <v>615975043</v>
      </c>
      <c r="BE204" s="20">
        <f t="shared" si="1"/>
        <v>0</v>
      </c>
      <c r="BF204" s="20">
        <f t="shared" si="2"/>
        <v>0</v>
      </c>
      <c r="BG204" s="20">
        <f t="shared" si="3"/>
        <v>0</v>
      </c>
    </row>
    <row r="205" spans="1:59" ht="14.25" customHeight="1">
      <c r="A205" s="147" t="s">
        <v>59</v>
      </c>
      <c r="B205" s="147" t="s">
        <v>523</v>
      </c>
      <c r="C205" s="151" t="s">
        <v>524</v>
      </c>
      <c r="D205" s="151" t="s">
        <v>62</v>
      </c>
      <c r="E205" s="151">
        <v>48</v>
      </c>
      <c r="F205" s="149" t="s">
        <v>613</v>
      </c>
      <c r="G205" s="147" t="s">
        <v>526</v>
      </c>
      <c r="H205" s="147" t="s">
        <v>527</v>
      </c>
      <c r="I205" s="147" t="s">
        <v>528</v>
      </c>
      <c r="J205" s="164">
        <v>81112501</v>
      </c>
      <c r="K205" s="147" t="s">
        <v>529</v>
      </c>
      <c r="L205" s="147" t="s">
        <v>145</v>
      </c>
      <c r="M205" s="147" t="s">
        <v>614</v>
      </c>
      <c r="N205" s="147" t="s">
        <v>180</v>
      </c>
      <c r="O205" s="147" t="s">
        <v>226</v>
      </c>
      <c r="P205" s="147" t="s">
        <v>615</v>
      </c>
      <c r="Q205" s="147">
        <v>12</v>
      </c>
      <c r="R205" s="147" t="s">
        <v>72</v>
      </c>
      <c r="S205" s="147" t="s">
        <v>129</v>
      </c>
      <c r="T205" s="147" t="s">
        <v>74</v>
      </c>
      <c r="U205" s="148">
        <v>630648274</v>
      </c>
      <c r="V205" s="148">
        <v>630648274</v>
      </c>
      <c r="W205" s="147" t="s">
        <v>75</v>
      </c>
      <c r="X205" s="147" t="s">
        <v>67</v>
      </c>
      <c r="Y205" s="147" t="s">
        <v>531</v>
      </c>
      <c r="Z205" s="147" t="s">
        <v>532</v>
      </c>
      <c r="AA205" s="147">
        <v>6012220601</v>
      </c>
      <c r="AB205" s="160" t="s">
        <v>533</v>
      </c>
      <c r="AC205" s="14"/>
      <c r="AD205" s="57"/>
      <c r="AE205" s="14"/>
      <c r="AF205" s="57"/>
      <c r="AG205" s="14"/>
      <c r="AH205" s="57"/>
      <c r="AI205" s="14"/>
      <c r="AJ205" s="14"/>
      <c r="AK205" s="14"/>
      <c r="AL205" s="14"/>
      <c r="AM205" s="14"/>
      <c r="AN205" s="14"/>
      <c r="AO205" s="14"/>
      <c r="AP205" s="14"/>
      <c r="AQ205" s="14"/>
      <c r="AR205" s="14"/>
      <c r="AS205" s="14"/>
      <c r="AT205" s="14"/>
      <c r="AU205" s="66"/>
      <c r="AV205" s="25"/>
      <c r="AW205" s="67">
        <v>630648274</v>
      </c>
      <c r="AX205" s="46"/>
      <c r="AY205" s="64"/>
      <c r="AZ205" s="25">
        <v>630648274</v>
      </c>
      <c r="BA205" s="59"/>
      <c r="BB205" s="17"/>
      <c r="BC205" s="18">
        <f t="shared" ref="BC205:BD205" si="199">AC205+AE205+AG205+AI205+AK205+AM205+AO205+AQ205+AS205+AU205+AW205+AY205+BA205</f>
        <v>630648274</v>
      </c>
      <c r="BD205" s="18">
        <f t="shared" si="199"/>
        <v>630648274</v>
      </c>
      <c r="BE205" s="20">
        <f t="shared" si="1"/>
        <v>0</v>
      </c>
      <c r="BF205" s="20">
        <f t="shared" si="2"/>
        <v>0</v>
      </c>
      <c r="BG205" s="20">
        <f t="shared" si="3"/>
        <v>0</v>
      </c>
    </row>
    <row r="206" spans="1:59" ht="14.25" customHeight="1">
      <c r="A206" s="147" t="s">
        <v>59</v>
      </c>
      <c r="B206" s="147" t="s">
        <v>523</v>
      </c>
      <c r="C206" s="151" t="s">
        <v>524</v>
      </c>
      <c r="D206" s="151" t="s">
        <v>62</v>
      </c>
      <c r="E206" s="151">
        <v>6</v>
      </c>
      <c r="F206" s="149" t="s">
        <v>616</v>
      </c>
      <c r="G206" s="147" t="s">
        <v>526</v>
      </c>
      <c r="H206" s="147" t="s">
        <v>527</v>
      </c>
      <c r="I206" s="147" t="s">
        <v>528</v>
      </c>
      <c r="J206" s="164">
        <v>93142104</v>
      </c>
      <c r="K206" s="147" t="s">
        <v>529</v>
      </c>
      <c r="L206" s="147" t="s">
        <v>145</v>
      </c>
      <c r="M206" s="147" t="s">
        <v>617</v>
      </c>
      <c r="N206" s="147" t="s">
        <v>180</v>
      </c>
      <c r="O206" s="147" t="s">
        <v>180</v>
      </c>
      <c r="P206" s="147" t="s">
        <v>226</v>
      </c>
      <c r="Q206" s="147">
        <v>12</v>
      </c>
      <c r="R206" s="147" t="s">
        <v>72</v>
      </c>
      <c r="S206" s="147" t="s">
        <v>227</v>
      </c>
      <c r="T206" s="147" t="s">
        <v>74</v>
      </c>
      <c r="U206" s="148">
        <v>0</v>
      </c>
      <c r="V206" s="148">
        <v>0</v>
      </c>
      <c r="W206" s="147" t="s">
        <v>75</v>
      </c>
      <c r="X206" s="147" t="s">
        <v>67</v>
      </c>
      <c r="Y206" s="147" t="s">
        <v>531</v>
      </c>
      <c r="Z206" s="147" t="s">
        <v>532</v>
      </c>
      <c r="AA206" s="147">
        <v>6012220601</v>
      </c>
      <c r="AB206" s="160" t="s">
        <v>533</v>
      </c>
      <c r="AC206" s="14"/>
      <c r="AD206" s="57"/>
      <c r="AE206" s="14"/>
      <c r="AF206" s="57"/>
      <c r="AG206" s="14"/>
      <c r="AH206" s="57"/>
      <c r="AI206" s="14"/>
      <c r="AJ206" s="14"/>
      <c r="AK206" s="14"/>
      <c r="AL206" s="14"/>
      <c r="AM206" s="14"/>
      <c r="AN206" s="14"/>
      <c r="AO206" s="14"/>
      <c r="AP206" s="14"/>
      <c r="AQ206" s="14"/>
      <c r="AR206" s="14"/>
      <c r="AS206" s="14"/>
      <c r="AT206" s="14"/>
      <c r="AU206" s="61"/>
      <c r="AV206" s="15"/>
      <c r="AW206" s="61"/>
      <c r="AX206" s="15"/>
      <c r="AY206" s="61"/>
      <c r="AZ206" s="15"/>
      <c r="BA206" s="59"/>
      <c r="BB206" s="17"/>
      <c r="BC206" s="18">
        <f t="shared" ref="BC206:BD206" si="200">AC206+AE206+AG206+AI206+AK206+AM206+AO206+AQ206+AS206+AU206+AW206+AY206+BA206</f>
        <v>0</v>
      </c>
      <c r="BD206" s="18">
        <f t="shared" si="200"/>
        <v>0</v>
      </c>
      <c r="BE206" s="20">
        <f t="shared" si="1"/>
        <v>0</v>
      </c>
      <c r="BF206" s="20">
        <f t="shared" si="2"/>
        <v>0</v>
      </c>
      <c r="BG206" s="20">
        <f t="shared" si="3"/>
        <v>0</v>
      </c>
    </row>
    <row r="207" spans="1:59" ht="14.25" customHeight="1">
      <c r="A207" s="147" t="s">
        <v>59</v>
      </c>
      <c r="B207" s="147" t="s">
        <v>523</v>
      </c>
      <c r="C207" s="151" t="s">
        <v>524</v>
      </c>
      <c r="D207" s="151" t="s">
        <v>62</v>
      </c>
      <c r="E207" s="151">
        <v>48</v>
      </c>
      <c r="F207" s="149" t="s">
        <v>618</v>
      </c>
      <c r="G207" s="147" t="s">
        <v>526</v>
      </c>
      <c r="H207" s="147" t="s">
        <v>527</v>
      </c>
      <c r="I207" s="147" t="s">
        <v>528</v>
      </c>
      <c r="J207" s="164" t="s">
        <v>67</v>
      </c>
      <c r="K207" s="147" t="s">
        <v>529</v>
      </c>
      <c r="L207" s="147" t="s">
        <v>69</v>
      </c>
      <c r="M207" s="165" t="s">
        <v>619</v>
      </c>
      <c r="N207" s="147" t="s">
        <v>180</v>
      </c>
      <c r="O207" s="147" t="s">
        <v>180</v>
      </c>
      <c r="P207" s="165" t="s">
        <v>180</v>
      </c>
      <c r="Q207" s="147">
        <v>6</v>
      </c>
      <c r="R207" s="147" t="s">
        <v>72</v>
      </c>
      <c r="S207" s="147" t="s">
        <v>536</v>
      </c>
      <c r="T207" s="147" t="s">
        <v>74</v>
      </c>
      <c r="U207" s="148">
        <v>153020300</v>
      </c>
      <c r="V207" s="148">
        <v>153020300</v>
      </c>
      <c r="W207" s="147" t="s">
        <v>75</v>
      </c>
      <c r="X207" s="147" t="s">
        <v>67</v>
      </c>
      <c r="Y207" s="147" t="s">
        <v>531</v>
      </c>
      <c r="Z207" s="147" t="s">
        <v>532</v>
      </c>
      <c r="AA207" s="147">
        <v>6012220601</v>
      </c>
      <c r="AB207" s="160" t="s">
        <v>533</v>
      </c>
      <c r="AC207" s="28"/>
      <c r="AD207" s="32"/>
      <c r="AE207" s="28"/>
      <c r="AF207" s="32"/>
      <c r="AG207" s="28"/>
      <c r="AH207" s="32"/>
      <c r="AI207" s="28"/>
      <c r="AJ207" s="28"/>
      <c r="AK207" s="28"/>
      <c r="AL207" s="28"/>
      <c r="AM207" s="28"/>
      <c r="AN207" s="28"/>
      <c r="AO207" s="28"/>
      <c r="AP207" s="28"/>
      <c r="AQ207" s="28"/>
      <c r="AR207" s="28"/>
      <c r="AS207" s="28"/>
      <c r="AT207" s="28"/>
      <c r="AU207" s="32"/>
      <c r="AV207" s="25"/>
      <c r="AW207" s="58">
        <v>153020300</v>
      </c>
      <c r="AX207" s="25"/>
      <c r="AY207" s="32"/>
      <c r="AZ207" s="28">
        <v>153020300</v>
      </c>
      <c r="BA207" s="59"/>
      <c r="BB207" s="17"/>
      <c r="BC207" s="18">
        <f t="shared" ref="BC207:BD207" si="201">AC207+AE207+AG207+AI207+AK207+AM207+AO207+AQ207+AS207+AU207+AW207+AY207+BA207</f>
        <v>153020300</v>
      </c>
      <c r="BD207" s="18">
        <f t="shared" si="201"/>
        <v>153020300</v>
      </c>
      <c r="BE207" s="20">
        <f t="shared" si="1"/>
        <v>0</v>
      </c>
      <c r="BF207" s="20">
        <f t="shared" si="2"/>
        <v>0</v>
      </c>
      <c r="BG207" s="20">
        <f t="shared" si="3"/>
        <v>0</v>
      </c>
    </row>
    <row r="208" spans="1:59" ht="14.25" customHeight="1">
      <c r="A208" s="147" t="s">
        <v>59</v>
      </c>
      <c r="B208" s="147" t="s">
        <v>523</v>
      </c>
      <c r="C208" s="151" t="s">
        <v>524</v>
      </c>
      <c r="D208" s="151" t="s">
        <v>62</v>
      </c>
      <c r="E208" s="151">
        <v>28</v>
      </c>
      <c r="F208" s="149" t="s">
        <v>620</v>
      </c>
      <c r="G208" s="147" t="s">
        <v>526</v>
      </c>
      <c r="H208" s="147" t="s">
        <v>527</v>
      </c>
      <c r="I208" s="147" t="s">
        <v>528</v>
      </c>
      <c r="J208" s="164">
        <v>80131500</v>
      </c>
      <c r="K208" s="147" t="s">
        <v>529</v>
      </c>
      <c r="L208" s="147" t="s">
        <v>97</v>
      </c>
      <c r="M208" s="147" t="s">
        <v>621</v>
      </c>
      <c r="N208" s="147" t="s">
        <v>180</v>
      </c>
      <c r="O208" s="147" t="s">
        <v>180</v>
      </c>
      <c r="P208" s="165" t="s">
        <v>180</v>
      </c>
      <c r="Q208" s="147">
        <v>6</v>
      </c>
      <c r="R208" s="147" t="s">
        <v>72</v>
      </c>
      <c r="S208" s="168" t="s">
        <v>101</v>
      </c>
      <c r="T208" s="147" t="s">
        <v>74</v>
      </c>
      <c r="U208" s="148">
        <v>80325000</v>
      </c>
      <c r="V208" s="148">
        <v>80325000</v>
      </c>
      <c r="W208" s="147" t="s">
        <v>75</v>
      </c>
      <c r="X208" s="147" t="s">
        <v>67</v>
      </c>
      <c r="Y208" s="147" t="s">
        <v>531</v>
      </c>
      <c r="Z208" s="147" t="s">
        <v>532</v>
      </c>
      <c r="AA208" s="147">
        <v>6012220601</v>
      </c>
      <c r="AB208" s="160" t="s">
        <v>533</v>
      </c>
      <c r="AC208" s="28"/>
      <c r="AD208" s="32"/>
      <c r="AE208" s="28"/>
      <c r="AF208" s="32"/>
      <c r="AG208" s="28"/>
      <c r="AH208" s="32"/>
      <c r="AI208" s="28"/>
      <c r="AJ208" s="28"/>
      <c r="AK208" s="28"/>
      <c r="AL208" s="28"/>
      <c r="AM208" s="28"/>
      <c r="AN208" s="28"/>
      <c r="AO208" s="28"/>
      <c r="AP208" s="28"/>
      <c r="AQ208" s="28"/>
      <c r="AR208" s="28"/>
      <c r="AS208" s="28"/>
      <c r="AT208" s="28"/>
      <c r="AU208" s="58"/>
      <c r="AV208" s="25"/>
      <c r="AW208" s="58">
        <v>17189550</v>
      </c>
      <c r="AX208" s="25">
        <v>17189550</v>
      </c>
      <c r="AY208" s="58">
        <v>17189550</v>
      </c>
      <c r="AZ208" s="25">
        <v>17189550</v>
      </c>
      <c r="BA208" s="60">
        <v>45945900</v>
      </c>
      <c r="BB208" s="33">
        <v>45945900</v>
      </c>
      <c r="BC208" s="18">
        <f t="shared" ref="BC208:BD208" si="202">AC208+AE208+AG208+AI208+AK208+AM208+AO208+AQ208+AS208+AU208+AW208+AY208+BA208</f>
        <v>80325000</v>
      </c>
      <c r="BD208" s="18">
        <f t="shared" si="202"/>
        <v>80325000</v>
      </c>
      <c r="BE208" s="20">
        <f t="shared" si="1"/>
        <v>0</v>
      </c>
      <c r="BF208" s="20">
        <f t="shared" si="2"/>
        <v>0</v>
      </c>
      <c r="BG208" s="20">
        <f t="shared" si="3"/>
        <v>0</v>
      </c>
    </row>
    <row r="209" spans="1:59" ht="14.25" customHeight="1">
      <c r="A209" s="147" t="s">
        <v>59</v>
      </c>
      <c r="B209" s="147" t="s">
        <v>523</v>
      </c>
      <c r="C209" s="151" t="s">
        <v>524</v>
      </c>
      <c r="D209" s="151" t="s">
        <v>62</v>
      </c>
      <c r="E209" s="151">
        <v>47</v>
      </c>
      <c r="F209" s="149" t="s">
        <v>622</v>
      </c>
      <c r="G209" s="147" t="s">
        <v>583</v>
      </c>
      <c r="H209" s="147" t="s">
        <v>584</v>
      </c>
      <c r="I209" s="147" t="s">
        <v>589</v>
      </c>
      <c r="J209" s="164" t="s">
        <v>67</v>
      </c>
      <c r="K209" s="147" t="s">
        <v>586</v>
      </c>
      <c r="L209" s="147" t="s">
        <v>69</v>
      </c>
      <c r="M209" s="165" t="s">
        <v>623</v>
      </c>
      <c r="N209" s="147" t="s">
        <v>180</v>
      </c>
      <c r="O209" s="147" t="s">
        <v>180</v>
      </c>
      <c r="P209" s="165" t="s">
        <v>180</v>
      </c>
      <c r="Q209" s="147">
        <v>6</v>
      </c>
      <c r="R209" s="147" t="s">
        <v>72</v>
      </c>
      <c r="S209" s="147" t="s">
        <v>536</v>
      </c>
      <c r="T209" s="147" t="s">
        <v>74</v>
      </c>
      <c r="U209" s="148">
        <v>14168835</v>
      </c>
      <c r="V209" s="148">
        <v>14168835</v>
      </c>
      <c r="W209" s="147" t="s">
        <v>75</v>
      </c>
      <c r="X209" s="147" t="s">
        <v>67</v>
      </c>
      <c r="Y209" s="147" t="s">
        <v>531</v>
      </c>
      <c r="Z209" s="147" t="s">
        <v>532</v>
      </c>
      <c r="AA209" s="147">
        <v>6012220601</v>
      </c>
      <c r="AB209" s="160" t="s">
        <v>533</v>
      </c>
      <c r="AC209" s="28"/>
      <c r="AD209" s="32"/>
      <c r="AE209" s="28"/>
      <c r="AF209" s="32"/>
      <c r="AG209" s="28"/>
      <c r="AH209" s="32"/>
      <c r="AI209" s="28"/>
      <c r="AJ209" s="28"/>
      <c r="AK209" s="28"/>
      <c r="AL209" s="28"/>
      <c r="AM209" s="28"/>
      <c r="AN209" s="28"/>
      <c r="AO209" s="28"/>
      <c r="AP209" s="28"/>
      <c r="AQ209" s="28"/>
      <c r="AR209" s="28"/>
      <c r="AS209" s="28"/>
      <c r="AT209" s="28"/>
      <c r="AU209" s="58"/>
      <c r="AV209" s="25"/>
      <c r="AW209" s="58">
        <v>14168835</v>
      </c>
      <c r="AX209" s="25"/>
      <c r="AY209" s="32"/>
      <c r="AZ209" s="28">
        <v>14168835</v>
      </c>
      <c r="BA209" s="59"/>
      <c r="BB209" s="17"/>
      <c r="BC209" s="18">
        <f t="shared" ref="BC209:BD209" si="203">AC209+AE209+AG209+AI209+AK209+AM209+AO209+AQ209+AS209+AU209+AW209+AY209+BA209</f>
        <v>14168835</v>
      </c>
      <c r="BD209" s="18">
        <f t="shared" si="203"/>
        <v>14168835</v>
      </c>
      <c r="BE209" s="20">
        <f t="shared" si="1"/>
        <v>0</v>
      </c>
      <c r="BF209" s="20">
        <f t="shared" si="2"/>
        <v>0</v>
      </c>
      <c r="BG209" s="20">
        <f t="shared" si="3"/>
        <v>0</v>
      </c>
    </row>
    <row r="210" spans="1:59" ht="14.25" customHeight="1">
      <c r="A210" s="147" t="s">
        <v>59</v>
      </c>
      <c r="B210" s="147" t="s">
        <v>523</v>
      </c>
      <c r="C210" s="151" t="s">
        <v>524</v>
      </c>
      <c r="D210" s="151" t="s">
        <v>62</v>
      </c>
      <c r="E210" s="151">
        <v>16</v>
      </c>
      <c r="F210" s="149" t="s">
        <v>624</v>
      </c>
      <c r="G210" s="147" t="s">
        <v>526</v>
      </c>
      <c r="H210" s="147" t="s">
        <v>527</v>
      </c>
      <c r="I210" s="147" t="s">
        <v>528</v>
      </c>
      <c r="J210" s="164">
        <v>81101516</v>
      </c>
      <c r="K210" s="147" t="s">
        <v>529</v>
      </c>
      <c r="L210" s="147" t="s">
        <v>248</v>
      </c>
      <c r="M210" s="147" t="s">
        <v>625</v>
      </c>
      <c r="N210" s="147" t="s">
        <v>128</v>
      </c>
      <c r="O210" s="147" t="s">
        <v>128</v>
      </c>
      <c r="P210" s="147" t="s">
        <v>100</v>
      </c>
      <c r="Q210" s="147">
        <v>1</v>
      </c>
      <c r="R210" s="147" t="s">
        <v>72</v>
      </c>
      <c r="S210" s="147" t="s">
        <v>478</v>
      </c>
      <c r="T210" s="147" t="s">
        <v>74</v>
      </c>
      <c r="U210" s="148">
        <v>0</v>
      </c>
      <c r="V210" s="148">
        <v>0</v>
      </c>
      <c r="W210" s="147" t="s">
        <v>75</v>
      </c>
      <c r="X210" s="147" t="s">
        <v>67</v>
      </c>
      <c r="Y210" s="147" t="s">
        <v>531</v>
      </c>
      <c r="Z210" s="147" t="s">
        <v>532</v>
      </c>
      <c r="AA210" s="147">
        <v>6012220601</v>
      </c>
      <c r="AB210" s="160" t="s">
        <v>533</v>
      </c>
      <c r="AC210" s="14"/>
      <c r="AD210" s="57"/>
      <c r="AE210" s="14"/>
      <c r="AF210" s="57"/>
      <c r="AG210" s="14"/>
      <c r="AH210" s="57"/>
      <c r="AI210" s="14"/>
      <c r="AJ210" s="14"/>
      <c r="AK210" s="14"/>
      <c r="AL210" s="14"/>
      <c r="AM210" s="14"/>
      <c r="AN210" s="14"/>
      <c r="AO210" s="14"/>
      <c r="AP210" s="14"/>
      <c r="AQ210" s="14"/>
      <c r="AR210" s="14"/>
      <c r="AS210" s="14"/>
      <c r="AT210" s="14"/>
      <c r="AU210" s="58"/>
      <c r="AV210" s="25"/>
      <c r="AW210" s="58"/>
      <c r="AX210" s="25"/>
      <c r="AY210" s="58"/>
      <c r="AZ210" s="25"/>
      <c r="BA210" s="59"/>
      <c r="BB210" s="17"/>
      <c r="BC210" s="18">
        <f t="shared" ref="BC210:BD210" si="204">AC210+AE210+AG210+AI210+AK210+AM210+AO210+AQ210+AS210+AU210+AW210+AY210+BA210</f>
        <v>0</v>
      </c>
      <c r="BD210" s="18">
        <f t="shared" si="204"/>
        <v>0</v>
      </c>
      <c r="BE210" s="20">
        <f t="shared" si="1"/>
        <v>0</v>
      </c>
      <c r="BF210" s="20">
        <f t="shared" si="2"/>
        <v>0</v>
      </c>
      <c r="BG210" s="20">
        <f t="shared" si="3"/>
        <v>0</v>
      </c>
    </row>
    <row r="211" spans="1:59" ht="14.25" customHeight="1">
      <c r="A211" s="147" t="s">
        <v>59</v>
      </c>
      <c r="B211" s="147" t="s">
        <v>523</v>
      </c>
      <c r="C211" s="151" t="s">
        <v>524</v>
      </c>
      <c r="D211" s="151" t="s">
        <v>62</v>
      </c>
      <c r="E211" s="151">
        <v>37</v>
      </c>
      <c r="F211" s="149" t="s">
        <v>626</v>
      </c>
      <c r="G211" s="147" t="s">
        <v>526</v>
      </c>
      <c r="H211" s="147" t="s">
        <v>527</v>
      </c>
      <c r="I211" s="147" t="s">
        <v>528</v>
      </c>
      <c r="J211" s="164">
        <v>80111620</v>
      </c>
      <c r="K211" s="147" t="s">
        <v>529</v>
      </c>
      <c r="L211" s="147" t="s">
        <v>83</v>
      </c>
      <c r="M211" s="147" t="s">
        <v>627</v>
      </c>
      <c r="N211" s="147" t="s">
        <v>85</v>
      </c>
      <c r="O211" s="147" t="s">
        <v>85</v>
      </c>
      <c r="P211" s="147" t="s">
        <v>85</v>
      </c>
      <c r="Q211" s="147">
        <v>11</v>
      </c>
      <c r="R211" s="147" t="s">
        <v>72</v>
      </c>
      <c r="S211" s="147" t="s">
        <v>73</v>
      </c>
      <c r="T211" s="147" t="s">
        <v>74</v>
      </c>
      <c r="U211" s="148">
        <v>79046500</v>
      </c>
      <c r="V211" s="148">
        <v>79046500</v>
      </c>
      <c r="W211" s="147" t="s">
        <v>75</v>
      </c>
      <c r="X211" s="147" t="s">
        <v>67</v>
      </c>
      <c r="Y211" s="147" t="s">
        <v>531</v>
      </c>
      <c r="Z211" s="147" t="s">
        <v>532</v>
      </c>
      <c r="AA211" s="147">
        <v>6012220601</v>
      </c>
      <c r="AB211" s="160" t="s">
        <v>533</v>
      </c>
      <c r="AC211" s="14"/>
      <c r="AD211" s="57"/>
      <c r="AE211" s="14">
        <v>43779600</v>
      </c>
      <c r="AF211" s="57"/>
      <c r="AG211" s="14"/>
      <c r="AH211" s="57">
        <v>6080500</v>
      </c>
      <c r="AI211" s="14"/>
      <c r="AJ211" s="14">
        <v>7296600</v>
      </c>
      <c r="AK211" s="14"/>
      <c r="AL211" s="14">
        <v>7296600</v>
      </c>
      <c r="AM211" s="14"/>
      <c r="AN211" s="14">
        <v>7296600</v>
      </c>
      <c r="AO211" s="14">
        <v>35266900</v>
      </c>
      <c r="AP211" s="14">
        <v>7296600</v>
      </c>
      <c r="AQ211" s="14"/>
      <c r="AR211" s="14">
        <v>7296600</v>
      </c>
      <c r="AS211" s="14"/>
      <c r="AT211" s="14">
        <v>7296600</v>
      </c>
      <c r="AU211" s="68"/>
      <c r="AV211" s="41">
        <v>7296600</v>
      </c>
      <c r="AW211" s="68"/>
      <c r="AX211" s="41">
        <v>7296600</v>
      </c>
      <c r="AY211" s="68"/>
      <c r="AZ211" s="41">
        <v>14593200</v>
      </c>
      <c r="BA211" s="59"/>
      <c r="BB211" s="17"/>
      <c r="BC211" s="18">
        <f t="shared" ref="BC211:BD211" si="205">AC211+AE211+AG211+AI211+AK211+AM211+AO211+AQ211+AS211+AU211+AW211+AY211+BA211</f>
        <v>79046500</v>
      </c>
      <c r="BD211" s="18">
        <f t="shared" si="205"/>
        <v>79046500</v>
      </c>
      <c r="BE211" s="20">
        <f t="shared" si="1"/>
        <v>0</v>
      </c>
      <c r="BF211" s="20">
        <f t="shared" si="2"/>
        <v>0</v>
      </c>
      <c r="BG211" s="20">
        <f t="shared" si="3"/>
        <v>0</v>
      </c>
    </row>
    <row r="212" spans="1:59" ht="14.25" customHeight="1">
      <c r="A212" s="147" t="s">
        <v>59</v>
      </c>
      <c r="B212" s="147" t="s">
        <v>523</v>
      </c>
      <c r="C212" s="151" t="s">
        <v>524</v>
      </c>
      <c r="D212" s="151" t="s">
        <v>62</v>
      </c>
      <c r="E212" s="151">
        <v>37</v>
      </c>
      <c r="F212" s="149" t="s">
        <v>628</v>
      </c>
      <c r="G212" s="147" t="s">
        <v>526</v>
      </c>
      <c r="H212" s="147" t="s">
        <v>527</v>
      </c>
      <c r="I212" s="147" t="s">
        <v>528</v>
      </c>
      <c r="J212" s="164">
        <v>80111620</v>
      </c>
      <c r="K212" s="147" t="s">
        <v>529</v>
      </c>
      <c r="L212" s="147" t="s">
        <v>83</v>
      </c>
      <c r="M212" s="147" t="s">
        <v>629</v>
      </c>
      <c r="N212" s="147" t="s">
        <v>85</v>
      </c>
      <c r="O212" s="147" t="s">
        <v>85</v>
      </c>
      <c r="P212" s="147" t="s">
        <v>91</v>
      </c>
      <c r="Q212" s="147">
        <v>11</v>
      </c>
      <c r="R212" s="147" t="s">
        <v>72</v>
      </c>
      <c r="S212" s="147" t="s">
        <v>73</v>
      </c>
      <c r="T212" s="147" t="s">
        <v>74</v>
      </c>
      <c r="U212" s="148">
        <v>80505820</v>
      </c>
      <c r="V212" s="148">
        <v>80505820</v>
      </c>
      <c r="W212" s="147" t="s">
        <v>75</v>
      </c>
      <c r="X212" s="147" t="s">
        <v>67</v>
      </c>
      <c r="Y212" s="147" t="s">
        <v>531</v>
      </c>
      <c r="Z212" s="147" t="s">
        <v>532</v>
      </c>
      <c r="AA212" s="147">
        <v>6012220601</v>
      </c>
      <c r="AB212" s="160" t="s">
        <v>533</v>
      </c>
      <c r="AC212" s="14">
        <v>43779600</v>
      </c>
      <c r="AD212" s="57"/>
      <c r="AE212" s="14"/>
      <c r="AF212" s="57"/>
      <c r="AG212" s="14"/>
      <c r="AH212" s="57">
        <v>7296600</v>
      </c>
      <c r="AI212" s="14"/>
      <c r="AJ212" s="14">
        <v>7296600</v>
      </c>
      <c r="AK212" s="14"/>
      <c r="AL212" s="14">
        <v>7296600</v>
      </c>
      <c r="AM212" s="14"/>
      <c r="AN212" s="14">
        <v>7296600</v>
      </c>
      <c r="AO212" s="14">
        <v>36726220</v>
      </c>
      <c r="AP212" s="14">
        <v>7296600</v>
      </c>
      <c r="AQ212" s="14">
        <v>-243220</v>
      </c>
      <c r="AR212" s="14">
        <v>7296600</v>
      </c>
      <c r="AS212" s="14"/>
      <c r="AT212" s="14">
        <v>7296600</v>
      </c>
      <c r="AU212" s="58"/>
      <c r="AV212" s="25">
        <v>7296600</v>
      </c>
      <c r="AW212" s="32"/>
      <c r="AX212" s="25">
        <v>7296600</v>
      </c>
      <c r="AY212" s="58"/>
      <c r="AZ212" s="25">
        <v>14836420</v>
      </c>
      <c r="BA212" s="32">
        <v>243220</v>
      </c>
      <c r="BB212" s="17"/>
      <c r="BC212" s="18">
        <f t="shared" ref="BC212:BD212" si="206">AC212+AE212+AG212+AI212+AK212+AM212+AO212+AQ212+AS212+AU212+AW212+AY212+BA212</f>
        <v>80505820</v>
      </c>
      <c r="BD212" s="18">
        <f t="shared" si="206"/>
        <v>80505820</v>
      </c>
      <c r="BE212" s="20">
        <f t="shared" si="1"/>
        <v>0</v>
      </c>
      <c r="BF212" s="20">
        <f t="shared" si="2"/>
        <v>0</v>
      </c>
      <c r="BG212" s="20">
        <f t="shared" si="3"/>
        <v>0</v>
      </c>
    </row>
    <row r="213" spans="1:59" ht="14.25" customHeight="1">
      <c r="A213" s="147" t="s">
        <v>59</v>
      </c>
      <c r="B213" s="147" t="s">
        <v>523</v>
      </c>
      <c r="C213" s="151" t="s">
        <v>524</v>
      </c>
      <c r="D213" s="151" t="s">
        <v>62</v>
      </c>
      <c r="E213" s="151">
        <v>37</v>
      </c>
      <c r="F213" s="149" t="s">
        <v>630</v>
      </c>
      <c r="G213" s="147" t="s">
        <v>526</v>
      </c>
      <c r="H213" s="147" t="s">
        <v>527</v>
      </c>
      <c r="I213" s="147" t="s">
        <v>528</v>
      </c>
      <c r="J213" s="164">
        <v>80111620</v>
      </c>
      <c r="K213" s="147" t="s">
        <v>529</v>
      </c>
      <c r="L213" s="147" t="s">
        <v>83</v>
      </c>
      <c r="M213" s="147" t="s">
        <v>631</v>
      </c>
      <c r="N213" s="147" t="s">
        <v>85</v>
      </c>
      <c r="O213" s="147" t="s">
        <v>85</v>
      </c>
      <c r="P213" s="147" t="s">
        <v>91</v>
      </c>
      <c r="Q213" s="147">
        <v>11</v>
      </c>
      <c r="R213" s="147" t="s">
        <v>72</v>
      </c>
      <c r="S213" s="147" t="s">
        <v>73</v>
      </c>
      <c r="T213" s="147" t="s">
        <v>74</v>
      </c>
      <c r="U213" s="148">
        <v>80505820</v>
      </c>
      <c r="V213" s="148">
        <v>80505820</v>
      </c>
      <c r="W213" s="147" t="s">
        <v>75</v>
      </c>
      <c r="X213" s="147" t="s">
        <v>67</v>
      </c>
      <c r="Y213" s="147" t="s">
        <v>531</v>
      </c>
      <c r="Z213" s="147" t="s">
        <v>532</v>
      </c>
      <c r="AA213" s="147">
        <v>6012220601</v>
      </c>
      <c r="AB213" s="160" t="s">
        <v>533</v>
      </c>
      <c r="AC213" s="14">
        <v>43779600</v>
      </c>
      <c r="AD213" s="57"/>
      <c r="AE213" s="14"/>
      <c r="AF213" s="57"/>
      <c r="AG213" s="14"/>
      <c r="AH213" s="57">
        <v>7296600</v>
      </c>
      <c r="AI213" s="14"/>
      <c r="AJ213" s="14">
        <v>7296600</v>
      </c>
      <c r="AK213" s="14"/>
      <c r="AL213" s="14">
        <v>7296600</v>
      </c>
      <c r="AM213" s="14"/>
      <c r="AN213" s="14">
        <v>7296600</v>
      </c>
      <c r="AO213" s="14">
        <v>36726220</v>
      </c>
      <c r="AP213" s="14">
        <v>7296600</v>
      </c>
      <c r="AQ213" s="14">
        <v>-243220</v>
      </c>
      <c r="AR213" s="14">
        <v>7296600</v>
      </c>
      <c r="AS213" s="14"/>
      <c r="AT213" s="14">
        <v>7296600</v>
      </c>
      <c r="AU213" s="58"/>
      <c r="AV213" s="25">
        <v>7296600</v>
      </c>
      <c r="AW213" s="32"/>
      <c r="AX213" s="25">
        <v>7296600</v>
      </c>
      <c r="AY213" s="58"/>
      <c r="AZ213" s="25">
        <v>14836420</v>
      </c>
      <c r="BA213" s="32">
        <v>243220</v>
      </c>
      <c r="BB213" s="17"/>
      <c r="BC213" s="18">
        <f t="shared" ref="BC213:BD213" si="207">AC213+AE213+AG213+AI213+AK213+AM213+AO213+AQ213+AS213+AU213+AW213+AY213+BA213</f>
        <v>80505820</v>
      </c>
      <c r="BD213" s="18">
        <f t="shared" si="207"/>
        <v>80505820</v>
      </c>
      <c r="BE213" s="20">
        <f t="shared" si="1"/>
        <v>0</v>
      </c>
      <c r="BF213" s="20">
        <f t="shared" si="2"/>
        <v>0</v>
      </c>
      <c r="BG213" s="20">
        <f t="shared" si="3"/>
        <v>0</v>
      </c>
    </row>
    <row r="214" spans="1:59" ht="14.25" customHeight="1">
      <c r="A214" s="147" t="s">
        <v>59</v>
      </c>
      <c r="B214" s="147" t="s">
        <v>523</v>
      </c>
      <c r="C214" s="151" t="s">
        <v>524</v>
      </c>
      <c r="D214" s="151" t="s">
        <v>62</v>
      </c>
      <c r="E214" s="151">
        <v>37</v>
      </c>
      <c r="F214" s="149" t="s">
        <v>632</v>
      </c>
      <c r="G214" s="147" t="s">
        <v>526</v>
      </c>
      <c r="H214" s="147" t="s">
        <v>527</v>
      </c>
      <c r="I214" s="147" t="s">
        <v>528</v>
      </c>
      <c r="J214" s="164">
        <v>80111620</v>
      </c>
      <c r="K214" s="147" t="s">
        <v>529</v>
      </c>
      <c r="L214" s="147" t="s">
        <v>83</v>
      </c>
      <c r="M214" s="147" t="s">
        <v>633</v>
      </c>
      <c r="N214" s="147" t="s">
        <v>85</v>
      </c>
      <c r="O214" s="147" t="s">
        <v>85</v>
      </c>
      <c r="P214" s="147" t="s">
        <v>91</v>
      </c>
      <c r="Q214" s="147">
        <v>11</v>
      </c>
      <c r="R214" s="147" t="s">
        <v>72</v>
      </c>
      <c r="S214" s="147" t="s">
        <v>73</v>
      </c>
      <c r="T214" s="147" t="s">
        <v>74</v>
      </c>
      <c r="U214" s="148">
        <v>80262600</v>
      </c>
      <c r="V214" s="148">
        <v>80262600</v>
      </c>
      <c r="W214" s="147" t="s">
        <v>75</v>
      </c>
      <c r="X214" s="147" t="s">
        <v>67</v>
      </c>
      <c r="Y214" s="147" t="s">
        <v>531</v>
      </c>
      <c r="Z214" s="147" t="s">
        <v>532</v>
      </c>
      <c r="AA214" s="147">
        <v>6012220601</v>
      </c>
      <c r="AB214" s="160" t="s">
        <v>533</v>
      </c>
      <c r="AC214" s="14">
        <v>43779600</v>
      </c>
      <c r="AD214" s="57"/>
      <c r="AE214" s="14"/>
      <c r="AF214" s="57"/>
      <c r="AG214" s="14"/>
      <c r="AH214" s="57">
        <v>7296600</v>
      </c>
      <c r="AI214" s="14"/>
      <c r="AJ214" s="14">
        <v>7296600</v>
      </c>
      <c r="AK214" s="14"/>
      <c r="AL214" s="14">
        <v>7296600</v>
      </c>
      <c r="AM214" s="14"/>
      <c r="AN214" s="14">
        <v>7296600</v>
      </c>
      <c r="AO214" s="14">
        <v>36483000</v>
      </c>
      <c r="AP214" s="14">
        <v>7296600</v>
      </c>
      <c r="AQ214" s="14"/>
      <c r="AR214" s="14">
        <v>7296600</v>
      </c>
      <c r="AS214" s="14"/>
      <c r="AT214" s="14">
        <v>7296600</v>
      </c>
      <c r="AU214" s="58"/>
      <c r="AV214" s="25">
        <v>7296600</v>
      </c>
      <c r="AW214" s="58"/>
      <c r="AX214" s="25">
        <v>7296600</v>
      </c>
      <c r="AY214" s="58"/>
      <c r="AZ214" s="25">
        <v>14593200</v>
      </c>
      <c r="BA214" s="58"/>
      <c r="BB214" s="17"/>
      <c r="BC214" s="18">
        <f t="shared" ref="BC214:BD214" si="208">AC214+AE214+AG214+AI214+AK214+AM214+AO214+AQ214+AS214+AU214+AW214+AY214+BA214</f>
        <v>80262600</v>
      </c>
      <c r="BD214" s="18">
        <f t="shared" si="208"/>
        <v>80262600</v>
      </c>
      <c r="BE214" s="20">
        <f t="shared" si="1"/>
        <v>0</v>
      </c>
      <c r="BF214" s="20">
        <f t="shared" si="2"/>
        <v>0</v>
      </c>
      <c r="BG214" s="20">
        <f t="shared" si="3"/>
        <v>0</v>
      </c>
    </row>
    <row r="215" spans="1:59" ht="14.25" customHeight="1">
      <c r="A215" s="147" t="s">
        <v>59</v>
      </c>
      <c r="B215" s="147" t="s">
        <v>523</v>
      </c>
      <c r="C215" s="151" t="s">
        <v>524</v>
      </c>
      <c r="D215" s="151" t="s">
        <v>62</v>
      </c>
      <c r="E215" s="151">
        <v>37</v>
      </c>
      <c r="F215" s="149" t="s">
        <v>634</v>
      </c>
      <c r="G215" s="147" t="s">
        <v>526</v>
      </c>
      <c r="H215" s="147" t="s">
        <v>527</v>
      </c>
      <c r="I215" s="147" t="s">
        <v>528</v>
      </c>
      <c r="J215" s="164">
        <v>80111620</v>
      </c>
      <c r="K215" s="147" t="s">
        <v>529</v>
      </c>
      <c r="L215" s="147" t="s">
        <v>83</v>
      </c>
      <c r="M215" s="147" t="s">
        <v>635</v>
      </c>
      <c r="N215" s="147" t="s">
        <v>85</v>
      </c>
      <c r="O215" s="147" t="s">
        <v>85</v>
      </c>
      <c r="P215" s="147" t="s">
        <v>91</v>
      </c>
      <c r="Q215" s="147">
        <v>11</v>
      </c>
      <c r="R215" s="147" t="s">
        <v>72</v>
      </c>
      <c r="S215" s="147" t="s">
        <v>73</v>
      </c>
      <c r="T215" s="147" t="s">
        <v>74</v>
      </c>
      <c r="U215" s="148">
        <v>80505820</v>
      </c>
      <c r="V215" s="148">
        <v>80505820</v>
      </c>
      <c r="W215" s="147" t="s">
        <v>75</v>
      </c>
      <c r="X215" s="147" t="s">
        <v>67</v>
      </c>
      <c r="Y215" s="147" t="s">
        <v>531</v>
      </c>
      <c r="Z215" s="147" t="s">
        <v>532</v>
      </c>
      <c r="AA215" s="147">
        <v>6012220601</v>
      </c>
      <c r="AB215" s="160" t="s">
        <v>533</v>
      </c>
      <c r="AC215" s="14">
        <v>43779600</v>
      </c>
      <c r="AD215" s="57"/>
      <c r="AE215" s="14"/>
      <c r="AF215" s="57"/>
      <c r="AG215" s="14"/>
      <c r="AH215" s="57">
        <v>7296600</v>
      </c>
      <c r="AI215" s="14"/>
      <c r="AJ215" s="14">
        <v>7296600</v>
      </c>
      <c r="AK215" s="14"/>
      <c r="AL215" s="14">
        <v>7296600</v>
      </c>
      <c r="AM215" s="14"/>
      <c r="AN215" s="14">
        <v>7296600</v>
      </c>
      <c r="AO215" s="14">
        <v>36726220</v>
      </c>
      <c r="AP215" s="14">
        <v>7296600</v>
      </c>
      <c r="AQ215" s="14">
        <v>-243220</v>
      </c>
      <c r="AR215" s="14">
        <v>7296600</v>
      </c>
      <c r="AS215" s="14"/>
      <c r="AT215" s="14">
        <v>7296600</v>
      </c>
      <c r="AU215" s="58"/>
      <c r="AV215" s="25">
        <v>7296600</v>
      </c>
      <c r="AW215" s="32"/>
      <c r="AX215" s="25">
        <v>7296600</v>
      </c>
      <c r="AY215" s="58"/>
      <c r="AZ215" s="25">
        <v>14836420</v>
      </c>
      <c r="BA215" s="32">
        <v>243220</v>
      </c>
      <c r="BB215" s="17"/>
      <c r="BC215" s="18">
        <f t="shared" ref="BC215:BD215" si="209">AC215+AE215+AG215+AI215+AK215+AM215+AO215+AQ215+AS215+AU215+AW215+AY215+BA215</f>
        <v>80505820</v>
      </c>
      <c r="BD215" s="18">
        <f t="shared" si="209"/>
        <v>80505820</v>
      </c>
      <c r="BE215" s="20">
        <f t="shared" si="1"/>
        <v>0</v>
      </c>
      <c r="BF215" s="20">
        <f t="shared" si="2"/>
        <v>0</v>
      </c>
      <c r="BG215" s="20">
        <f t="shared" si="3"/>
        <v>0</v>
      </c>
    </row>
    <row r="216" spans="1:59" ht="14.25" customHeight="1">
      <c r="A216" s="147" t="s">
        <v>59</v>
      </c>
      <c r="B216" s="147" t="s">
        <v>523</v>
      </c>
      <c r="C216" s="151" t="s">
        <v>524</v>
      </c>
      <c r="D216" s="151" t="s">
        <v>62</v>
      </c>
      <c r="E216" s="151">
        <v>41</v>
      </c>
      <c r="F216" s="149" t="s">
        <v>636</v>
      </c>
      <c r="G216" s="147" t="s">
        <v>526</v>
      </c>
      <c r="H216" s="147" t="s">
        <v>527</v>
      </c>
      <c r="I216" s="147" t="s">
        <v>528</v>
      </c>
      <c r="J216" s="164">
        <v>80111620</v>
      </c>
      <c r="K216" s="147" t="s">
        <v>529</v>
      </c>
      <c r="L216" s="147" t="s">
        <v>83</v>
      </c>
      <c r="M216" s="147" t="s">
        <v>637</v>
      </c>
      <c r="N216" s="147" t="s">
        <v>91</v>
      </c>
      <c r="O216" s="147" t="s">
        <v>91</v>
      </c>
      <c r="P216" s="147" t="s">
        <v>91</v>
      </c>
      <c r="Q216" s="147">
        <v>12</v>
      </c>
      <c r="R216" s="147" t="s">
        <v>72</v>
      </c>
      <c r="S216" s="147" t="s">
        <v>536</v>
      </c>
      <c r="T216" s="147" t="s">
        <v>74</v>
      </c>
      <c r="U216" s="148">
        <v>49732740</v>
      </c>
      <c r="V216" s="148">
        <v>49732740</v>
      </c>
      <c r="W216" s="147" t="s">
        <v>75</v>
      </c>
      <c r="X216" s="147" t="s">
        <v>67</v>
      </c>
      <c r="Y216" s="147" t="s">
        <v>531</v>
      </c>
      <c r="Z216" s="147" t="s">
        <v>532</v>
      </c>
      <c r="AA216" s="147">
        <v>6012220601</v>
      </c>
      <c r="AB216" s="160" t="s">
        <v>533</v>
      </c>
      <c r="AC216" s="14">
        <v>27006540</v>
      </c>
      <c r="AD216" s="57"/>
      <c r="AE216" s="14"/>
      <c r="AF216" s="57">
        <v>288840</v>
      </c>
      <c r="AG216" s="14"/>
      <c r="AH216" s="57">
        <v>4332600</v>
      </c>
      <c r="AI216" s="14"/>
      <c r="AJ216" s="14">
        <v>4332600</v>
      </c>
      <c r="AK216" s="14"/>
      <c r="AL216" s="14">
        <v>4332600</v>
      </c>
      <c r="AM216" s="14"/>
      <c r="AN216" s="14">
        <v>4332600</v>
      </c>
      <c r="AO216" s="14">
        <v>20940900</v>
      </c>
      <c r="AP216" s="14">
        <v>4332600</v>
      </c>
      <c r="AQ216" s="14"/>
      <c r="AR216" s="14">
        <v>4332600</v>
      </c>
      <c r="AS216" s="14">
        <v>1785300</v>
      </c>
      <c r="AT216" s="14">
        <v>4332600</v>
      </c>
      <c r="AU216" s="58"/>
      <c r="AV216" s="25">
        <v>4657200</v>
      </c>
      <c r="AW216" s="58"/>
      <c r="AX216" s="25">
        <v>4819500</v>
      </c>
      <c r="AY216" s="58"/>
      <c r="AZ216" s="25">
        <v>9639000</v>
      </c>
      <c r="BA216" s="59"/>
      <c r="BB216" s="17"/>
      <c r="BC216" s="18">
        <f t="shared" ref="BC216:BD216" si="210">AC216+AE216+AG216+AI216+AK216+AM216+AO216+AQ216+AS216+AU216+AW216+AY216+BA216</f>
        <v>49732740</v>
      </c>
      <c r="BD216" s="18">
        <f t="shared" si="210"/>
        <v>49732740</v>
      </c>
      <c r="BE216" s="20">
        <f t="shared" si="1"/>
        <v>0</v>
      </c>
      <c r="BF216" s="20">
        <f t="shared" si="2"/>
        <v>0</v>
      </c>
      <c r="BG216" s="20">
        <f t="shared" si="3"/>
        <v>0</v>
      </c>
    </row>
    <row r="217" spans="1:59" ht="14.25" customHeight="1">
      <c r="A217" s="147" t="s">
        <v>59</v>
      </c>
      <c r="B217" s="147" t="s">
        <v>523</v>
      </c>
      <c r="C217" s="151" t="s">
        <v>524</v>
      </c>
      <c r="D217" s="151" t="s">
        <v>62</v>
      </c>
      <c r="E217" s="151">
        <v>20</v>
      </c>
      <c r="F217" s="149" t="s">
        <v>638</v>
      </c>
      <c r="G217" s="147" t="s">
        <v>526</v>
      </c>
      <c r="H217" s="147" t="s">
        <v>527</v>
      </c>
      <c r="I217" s="147" t="s">
        <v>528</v>
      </c>
      <c r="J217" s="164">
        <v>80111620</v>
      </c>
      <c r="K217" s="147" t="s">
        <v>529</v>
      </c>
      <c r="L217" s="147" t="s">
        <v>83</v>
      </c>
      <c r="M217" s="147" t="s">
        <v>639</v>
      </c>
      <c r="N217" s="147" t="s">
        <v>91</v>
      </c>
      <c r="O217" s="147" t="s">
        <v>91</v>
      </c>
      <c r="P217" s="165" t="s">
        <v>91</v>
      </c>
      <c r="Q217" s="147">
        <v>11</v>
      </c>
      <c r="R217" s="147" t="s">
        <v>72</v>
      </c>
      <c r="S217" s="147" t="s">
        <v>73</v>
      </c>
      <c r="T217" s="147" t="s">
        <v>74</v>
      </c>
      <c r="U217" s="148">
        <v>40967650</v>
      </c>
      <c r="V217" s="148">
        <v>40967650</v>
      </c>
      <c r="W217" s="147" t="s">
        <v>75</v>
      </c>
      <c r="X217" s="147" t="s">
        <v>67</v>
      </c>
      <c r="Y217" s="147" t="s">
        <v>531</v>
      </c>
      <c r="Z217" s="147" t="s">
        <v>532</v>
      </c>
      <c r="AA217" s="147">
        <v>6012220601</v>
      </c>
      <c r="AB217" s="160" t="s">
        <v>533</v>
      </c>
      <c r="AC217" s="14"/>
      <c r="AD217" s="57"/>
      <c r="AE217" s="14">
        <v>41343500</v>
      </c>
      <c r="AF217" s="57"/>
      <c r="AG217" s="14">
        <v>-375850</v>
      </c>
      <c r="AH217" s="57">
        <v>3382650</v>
      </c>
      <c r="AI217" s="14"/>
      <c r="AJ217" s="14">
        <v>3758500</v>
      </c>
      <c r="AK217" s="14"/>
      <c r="AL217" s="14">
        <v>3758500</v>
      </c>
      <c r="AM217" s="14"/>
      <c r="AN217" s="14">
        <v>3758500</v>
      </c>
      <c r="AO217" s="14"/>
      <c r="AP217" s="14">
        <v>3758500</v>
      </c>
      <c r="AQ217" s="14"/>
      <c r="AR217" s="14">
        <v>3758500</v>
      </c>
      <c r="AS217" s="14"/>
      <c r="AT217" s="14">
        <v>3758500</v>
      </c>
      <c r="AU217" s="61"/>
      <c r="AV217" s="15">
        <v>3758500</v>
      </c>
      <c r="AW217" s="61"/>
      <c r="AX217" s="15">
        <v>3758500</v>
      </c>
      <c r="AY217" s="61"/>
      <c r="AZ217" s="15">
        <v>7517000</v>
      </c>
      <c r="BA217" s="59"/>
      <c r="BB217" s="17"/>
      <c r="BC217" s="18">
        <f t="shared" ref="BC217:BD217" si="211">AC217+AE217+AG217+AI217+AK217+AM217+AO217+AQ217+AS217+AU217+AW217+AY217+BA217</f>
        <v>40967650</v>
      </c>
      <c r="BD217" s="18">
        <f t="shared" si="211"/>
        <v>40967650</v>
      </c>
      <c r="BE217" s="20">
        <f t="shared" si="1"/>
        <v>0</v>
      </c>
      <c r="BF217" s="20">
        <f t="shared" si="2"/>
        <v>0</v>
      </c>
      <c r="BG217" s="20">
        <f t="shared" si="3"/>
        <v>0</v>
      </c>
    </row>
    <row r="218" spans="1:59" ht="14.25" customHeight="1">
      <c r="A218" s="147" t="s">
        <v>59</v>
      </c>
      <c r="B218" s="147" t="s">
        <v>523</v>
      </c>
      <c r="C218" s="151" t="s">
        <v>524</v>
      </c>
      <c r="D218" s="151" t="s">
        <v>62</v>
      </c>
      <c r="E218" s="151">
        <v>20</v>
      </c>
      <c r="F218" s="149" t="s">
        <v>640</v>
      </c>
      <c r="G218" s="147" t="s">
        <v>526</v>
      </c>
      <c r="H218" s="147" t="s">
        <v>527</v>
      </c>
      <c r="I218" s="147" t="s">
        <v>528</v>
      </c>
      <c r="J218" s="164">
        <v>80111620</v>
      </c>
      <c r="K218" s="147" t="s">
        <v>529</v>
      </c>
      <c r="L218" s="147" t="s">
        <v>83</v>
      </c>
      <c r="M218" s="147" t="s">
        <v>641</v>
      </c>
      <c r="N218" s="147" t="s">
        <v>91</v>
      </c>
      <c r="O218" s="147" t="s">
        <v>91</v>
      </c>
      <c r="P218" s="165" t="s">
        <v>91</v>
      </c>
      <c r="Q218" s="147">
        <v>11</v>
      </c>
      <c r="R218" s="147" t="s">
        <v>72</v>
      </c>
      <c r="S218" s="147" t="s">
        <v>73</v>
      </c>
      <c r="T218" s="147" t="s">
        <v>74</v>
      </c>
      <c r="U218" s="148">
        <v>35144280</v>
      </c>
      <c r="V218" s="148">
        <v>35144280</v>
      </c>
      <c r="W218" s="147" t="s">
        <v>75</v>
      </c>
      <c r="X218" s="147" t="s">
        <v>67</v>
      </c>
      <c r="Y218" s="147" t="s">
        <v>531</v>
      </c>
      <c r="Z218" s="147" t="s">
        <v>532</v>
      </c>
      <c r="AA218" s="147">
        <v>6012220601</v>
      </c>
      <c r="AB218" s="160" t="s">
        <v>533</v>
      </c>
      <c r="AC218" s="14"/>
      <c r="AD218" s="57"/>
      <c r="AE218" s="14">
        <v>35252750</v>
      </c>
      <c r="AF218" s="57"/>
      <c r="AG218" s="14"/>
      <c r="AH218" s="57">
        <v>2603280</v>
      </c>
      <c r="AI218" s="14">
        <v>-108470</v>
      </c>
      <c r="AJ218" s="14">
        <v>3254100</v>
      </c>
      <c r="AK218" s="14"/>
      <c r="AL218" s="14">
        <v>3254100</v>
      </c>
      <c r="AM218" s="14"/>
      <c r="AN218" s="14">
        <v>3254100</v>
      </c>
      <c r="AO218" s="14"/>
      <c r="AP218" s="14">
        <v>3254100</v>
      </c>
      <c r="AQ218" s="14"/>
      <c r="AR218" s="14">
        <v>3254100</v>
      </c>
      <c r="AS218" s="14"/>
      <c r="AT218" s="14">
        <v>3254100</v>
      </c>
      <c r="AU218" s="61"/>
      <c r="AV218" s="15">
        <v>3254100</v>
      </c>
      <c r="AW218" s="61"/>
      <c r="AX218" s="15">
        <v>3254100</v>
      </c>
      <c r="AY218" s="61"/>
      <c r="AZ218" s="15">
        <v>6508200</v>
      </c>
      <c r="BA218" s="59"/>
      <c r="BB218" s="17"/>
      <c r="BC218" s="18">
        <f t="shared" ref="BC218:BD218" si="212">AC218+AE218+AG218+AI218+AK218+AM218+AO218+AQ218+AS218+AU218+AW218+AY218+BA218</f>
        <v>35144280</v>
      </c>
      <c r="BD218" s="18">
        <f t="shared" si="212"/>
        <v>35144280</v>
      </c>
      <c r="BE218" s="20">
        <f t="shared" si="1"/>
        <v>0</v>
      </c>
      <c r="BF218" s="20">
        <f t="shared" si="2"/>
        <v>0</v>
      </c>
      <c r="BG218" s="20">
        <f t="shared" si="3"/>
        <v>0</v>
      </c>
    </row>
    <row r="219" spans="1:59" ht="14.25" customHeight="1">
      <c r="A219" s="147" t="s">
        <v>59</v>
      </c>
      <c r="B219" s="147" t="s">
        <v>523</v>
      </c>
      <c r="C219" s="151" t="s">
        <v>524</v>
      </c>
      <c r="D219" s="151" t="s">
        <v>62</v>
      </c>
      <c r="E219" s="151">
        <v>15</v>
      </c>
      <c r="F219" s="149" t="s">
        <v>642</v>
      </c>
      <c r="G219" s="147" t="s">
        <v>526</v>
      </c>
      <c r="H219" s="147" t="s">
        <v>527</v>
      </c>
      <c r="I219" s="147" t="s">
        <v>528</v>
      </c>
      <c r="J219" s="164">
        <v>80111620</v>
      </c>
      <c r="K219" s="147" t="s">
        <v>529</v>
      </c>
      <c r="L219" s="147" t="s">
        <v>83</v>
      </c>
      <c r="M219" s="147" t="s">
        <v>643</v>
      </c>
      <c r="N219" s="147" t="s">
        <v>91</v>
      </c>
      <c r="O219" s="147" t="s">
        <v>91</v>
      </c>
      <c r="P219" s="165" t="s">
        <v>91</v>
      </c>
      <c r="Q219" s="147">
        <v>11</v>
      </c>
      <c r="R219" s="147" t="s">
        <v>72</v>
      </c>
      <c r="S219" s="147" t="s">
        <v>73</v>
      </c>
      <c r="T219" s="147" t="s">
        <v>74</v>
      </c>
      <c r="U219" s="148">
        <v>68536800</v>
      </c>
      <c r="V219" s="148">
        <v>68536800</v>
      </c>
      <c r="W219" s="147" t="s">
        <v>75</v>
      </c>
      <c r="X219" s="147" t="s">
        <v>67</v>
      </c>
      <c r="Y219" s="147" t="s">
        <v>531</v>
      </c>
      <c r="Z219" s="147" t="s">
        <v>532</v>
      </c>
      <c r="AA219" s="147">
        <v>6012220601</v>
      </c>
      <c r="AB219" s="160" t="s">
        <v>533</v>
      </c>
      <c r="AC219" s="14"/>
      <c r="AD219" s="57"/>
      <c r="AE219" s="14">
        <v>68748333</v>
      </c>
      <c r="AF219" s="57"/>
      <c r="AG219" s="14">
        <v>-211533</v>
      </c>
      <c r="AH219" s="57">
        <v>5076800</v>
      </c>
      <c r="AI219" s="14"/>
      <c r="AJ219" s="14">
        <v>6346000</v>
      </c>
      <c r="AK219" s="14"/>
      <c r="AL219" s="14">
        <v>6346000</v>
      </c>
      <c r="AM219" s="14"/>
      <c r="AN219" s="14">
        <v>6346000</v>
      </c>
      <c r="AO219" s="14"/>
      <c r="AP219" s="14">
        <v>6346000</v>
      </c>
      <c r="AQ219" s="14"/>
      <c r="AR219" s="14">
        <v>6346000</v>
      </c>
      <c r="AS219" s="14"/>
      <c r="AT219" s="14">
        <v>6346000</v>
      </c>
      <c r="AU219" s="58"/>
      <c r="AV219" s="15">
        <v>6346000</v>
      </c>
      <c r="AW219" s="58"/>
      <c r="AX219" s="15">
        <v>6346000</v>
      </c>
      <c r="AY219" s="58"/>
      <c r="AZ219" s="15">
        <v>12692000</v>
      </c>
      <c r="BA219" s="59"/>
      <c r="BB219" s="17"/>
      <c r="BC219" s="18">
        <f t="shared" ref="BC219:BD219" si="213">AC219+AE219+AG219+AI219+AK219+AM219+AO219+AQ219+AS219+AU219+AW219+AY219+BA219</f>
        <v>68536800</v>
      </c>
      <c r="BD219" s="18">
        <f t="shared" si="213"/>
        <v>68536800</v>
      </c>
      <c r="BE219" s="20">
        <f t="shared" si="1"/>
        <v>0</v>
      </c>
      <c r="BF219" s="20">
        <f t="shared" si="2"/>
        <v>0</v>
      </c>
      <c r="BG219" s="20">
        <f t="shared" si="3"/>
        <v>0</v>
      </c>
    </row>
    <row r="220" spans="1:59" ht="14.25" customHeight="1">
      <c r="A220" s="147" t="s">
        <v>59</v>
      </c>
      <c r="B220" s="147" t="s">
        <v>523</v>
      </c>
      <c r="C220" s="151" t="s">
        <v>524</v>
      </c>
      <c r="D220" s="151" t="s">
        <v>62</v>
      </c>
      <c r="E220" s="151">
        <v>20</v>
      </c>
      <c r="F220" s="149" t="s">
        <v>644</v>
      </c>
      <c r="G220" s="147" t="s">
        <v>526</v>
      </c>
      <c r="H220" s="147" t="s">
        <v>527</v>
      </c>
      <c r="I220" s="147" t="s">
        <v>528</v>
      </c>
      <c r="J220" s="164">
        <v>80111620</v>
      </c>
      <c r="K220" s="147" t="s">
        <v>529</v>
      </c>
      <c r="L220" s="147" t="s">
        <v>83</v>
      </c>
      <c r="M220" s="147" t="s">
        <v>645</v>
      </c>
      <c r="N220" s="147" t="s">
        <v>91</v>
      </c>
      <c r="O220" s="147" t="s">
        <v>91</v>
      </c>
      <c r="P220" s="165" t="s">
        <v>91</v>
      </c>
      <c r="Q220" s="147">
        <v>11</v>
      </c>
      <c r="R220" s="147" t="s">
        <v>72</v>
      </c>
      <c r="S220" s="147" t="s">
        <v>73</v>
      </c>
      <c r="T220" s="147" t="s">
        <v>74</v>
      </c>
      <c r="U220" s="148">
        <v>67902200</v>
      </c>
      <c r="V220" s="148">
        <v>67902200</v>
      </c>
      <c r="W220" s="147" t="s">
        <v>75</v>
      </c>
      <c r="X220" s="147" t="s">
        <v>67</v>
      </c>
      <c r="Y220" s="147" t="s">
        <v>531</v>
      </c>
      <c r="Z220" s="147" t="s">
        <v>532</v>
      </c>
      <c r="AA220" s="147">
        <v>6012220601</v>
      </c>
      <c r="AB220" s="160" t="s">
        <v>533</v>
      </c>
      <c r="AC220" s="14"/>
      <c r="AD220" s="57"/>
      <c r="AE220" s="14">
        <v>68748333</v>
      </c>
      <c r="AF220" s="57"/>
      <c r="AG220" s="14">
        <v>-846133</v>
      </c>
      <c r="AH220" s="57">
        <v>4442200</v>
      </c>
      <c r="AI220" s="14"/>
      <c r="AJ220" s="14">
        <v>6346000</v>
      </c>
      <c r="AK220" s="14"/>
      <c r="AL220" s="14">
        <v>6346000</v>
      </c>
      <c r="AM220" s="14"/>
      <c r="AN220" s="14">
        <v>6346000</v>
      </c>
      <c r="AO220" s="14"/>
      <c r="AP220" s="14">
        <v>6346000</v>
      </c>
      <c r="AQ220" s="14"/>
      <c r="AR220" s="14">
        <v>6346000</v>
      </c>
      <c r="AS220" s="14"/>
      <c r="AT220" s="14">
        <v>6346000</v>
      </c>
      <c r="AU220" s="61"/>
      <c r="AV220" s="15">
        <v>6346000</v>
      </c>
      <c r="AW220" s="61"/>
      <c r="AX220" s="15">
        <v>6346000</v>
      </c>
      <c r="AY220" s="61"/>
      <c r="AZ220" s="15">
        <v>12692000</v>
      </c>
      <c r="BA220" s="59"/>
      <c r="BB220" s="17"/>
      <c r="BC220" s="18">
        <f t="shared" ref="BC220:BD220" si="214">AC220+AE220+AG220+AI220+AK220+AM220+AO220+AQ220+AS220+AU220+AW220+AY220+BA220</f>
        <v>67902200</v>
      </c>
      <c r="BD220" s="18">
        <f t="shared" si="214"/>
        <v>67902200</v>
      </c>
      <c r="BE220" s="20">
        <f t="shared" si="1"/>
        <v>0</v>
      </c>
      <c r="BF220" s="20">
        <f t="shared" si="2"/>
        <v>0</v>
      </c>
      <c r="BG220" s="20">
        <f t="shared" si="3"/>
        <v>0</v>
      </c>
    </row>
    <row r="221" spans="1:59" ht="14.25" customHeight="1">
      <c r="A221" s="147" t="s">
        <v>59</v>
      </c>
      <c r="B221" s="147" t="s">
        <v>523</v>
      </c>
      <c r="C221" s="151" t="s">
        <v>524</v>
      </c>
      <c r="D221" s="151" t="s">
        <v>62</v>
      </c>
      <c r="E221" s="151">
        <v>20</v>
      </c>
      <c r="F221" s="149" t="s">
        <v>646</v>
      </c>
      <c r="G221" s="147" t="s">
        <v>526</v>
      </c>
      <c r="H221" s="147" t="s">
        <v>527</v>
      </c>
      <c r="I221" s="147" t="s">
        <v>528</v>
      </c>
      <c r="J221" s="164">
        <v>80111620</v>
      </c>
      <c r="K221" s="147" t="s">
        <v>529</v>
      </c>
      <c r="L221" s="147" t="s">
        <v>83</v>
      </c>
      <c r="M221" s="147" t="s">
        <v>647</v>
      </c>
      <c r="N221" s="147" t="s">
        <v>91</v>
      </c>
      <c r="O221" s="147" t="s">
        <v>91</v>
      </c>
      <c r="P221" s="165" t="s">
        <v>91</v>
      </c>
      <c r="Q221" s="147">
        <v>11</v>
      </c>
      <c r="R221" s="147" t="s">
        <v>72</v>
      </c>
      <c r="S221" s="147" t="s">
        <v>73</v>
      </c>
      <c r="T221" s="147" t="s">
        <v>74</v>
      </c>
      <c r="U221" s="148">
        <v>53300380</v>
      </c>
      <c r="V221" s="148">
        <v>53300380</v>
      </c>
      <c r="W221" s="147" t="s">
        <v>75</v>
      </c>
      <c r="X221" s="147" t="s">
        <v>67</v>
      </c>
      <c r="Y221" s="147" t="s">
        <v>531</v>
      </c>
      <c r="Z221" s="147" t="s">
        <v>532</v>
      </c>
      <c r="AA221" s="147">
        <v>6012220601</v>
      </c>
      <c r="AB221" s="160" t="s">
        <v>533</v>
      </c>
      <c r="AC221" s="14"/>
      <c r="AD221" s="57"/>
      <c r="AE221" s="14">
        <v>54645500</v>
      </c>
      <c r="AF221" s="57"/>
      <c r="AG221" s="14"/>
      <c r="AH221" s="57">
        <v>2858380</v>
      </c>
      <c r="AI221" s="14">
        <v>-1345120</v>
      </c>
      <c r="AJ221" s="14">
        <v>5044200</v>
      </c>
      <c r="AK221" s="14"/>
      <c r="AL221" s="14">
        <v>5044200</v>
      </c>
      <c r="AM221" s="14"/>
      <c r="AN221" s="14">
        <v>5044200</v>
      </c>
      <c r="AO221" s="14"/>
      <c r="AP221" s="14">
        <v>5044200</v>
      </c>
      <c r="AQ221" s="14"/>
      <c r="AR221" s="14">
        <v>5044200</v>
      </c>
      <c r="AS221" s="14"/>
      <c r="AT221" s="14">
        <v>5044200</v>
      </c>
      <c r="AU221" s="61"/>
      <c r="AV221" s="15">
        <v>5044200</v>
      </c>
      <c r="AW221" s="61"/>
      <c r="AX221" s="15">
        <v>5044200</v>
      </c>
      <c r="AY221" s="61"/>
      <c r="AZ221" s="15">
        <v>10088400</v>
      </c>
      <c r="BA221" s="59"/>
      <c r="BB221" s="17"/>
      <c r="BC221" s="18">
        <f t="shared" ref="BC221:BD221" si="215">AC221+AE221+AG221+AI221+AK221+AM221+AO221+AQ221+AS221+AU221+AW221+AY221+BA221</f>
        <v>53300380</v>
      </c>
      <c r="BD221" s="18">
        <f t="shared" si="215"/>
        <v>53300380</v>
      </c>
      <c r="BE221" s="20">
        <f t="shared" si="1"/>
        <v>0</v>
      </c>
      <c r="BF221" s="20">
        <f t="shared" si="2"/>
        <v>0</v>
      </c>
      <c r="BG221" s="20">
        <f t="shared" si="3"/>
        <v>0</v>
      </c>
    </row>
    <row r="222" spans="1:59" ht="14.25" customHeight="1">
      <c r="A222" s="149" t="s">
        <v>59</v>
      </c>
      <c r="B222" s="149" t="s">
        <v>523</v>
      </c>
      <c r="C222" s="151" t="s">
        <v>524</v>
      </c>
      <c r="D222" s="166" t="s">
        <v>62</v>
      </c>
      <c r="E222" s="151">
        <v>15</v>
      </c>
      <c r="F222" s="149" t="s">
        <v>648</v>
      </c>
      <c r="G222" s="149" t="s">
        <v>526</v>
      </c>
      <c r="H222" s="149" t="s">
        <v>527</v>
      </c>
      <c r="I222" s="149" t="s">
        <v>528</v>
      </c>
      <c r="J222" s="173">
        <v>80111620</v>
      </c>
      <c r="K222" s="149" t="s">
        <v>529</v>
      </c>
      <c r="L222" s="149" t="s">
        <v>83</v>
      </c>
      <c r="M222" s="149" t="s">
        <v>649</v>
      </c>
      <c r="N222" s="149" t="s">
        <v>85</v>
      </c>
      <c r="O222" s="149" t="s">
        <v>85</v>
      </c>
      <c r="P222" s="149" t="s">
        <v>85</v>
      </c>
      <c r="Q222" s="149">
        <v>3</v>
      </c>
      <c r="R222" s="149" t="s">
        <v>72</v>
      </c>
      <c r="S222" s="149" t="s">
        <v>536</v>
      </c>
      <c r="T222" s="149" t="s">
        <v>74</v>
      </c>
      <c r="U222" s="175">
        <v>10400000</v>
      </c>
      <c r="V222" s="175">
        <v>10400000</v>
      </c>
      <c r="W222" s="149" t="s">
        <v>75</v>
      </c>
      <c r="X222" s="149" t="s">
        <v>67</v>
      </c>
      <c r="Y222" s="149" t="s">
        <v>531</v>
      </c>
      <c r="Z222" s="149" t="s">
        <v>532</v>
      </c>
      <c r="AA222" s="149">
        <v>6012220601</v>
      </c>
      <c r="AB222" s="172" t="s">
        <v>533</v>
      </c>
      <c r="AC222" s="35">
        <v>18000000</v>
      </c>
      <c r="AD222" s="69"/>
      <c r="AE222" s="35">
        <v>-7600000</v>
      </c>
      <c r="AF222" s="69">
        <v>4400000</v>
      </c>
      <c r="AG222" s="35"/>
      <c r="AH222" s="69">
        <v>6000000</v>
      </c>
      <c r="AI222" s="35"/>
      <c r="AJ222" s="35"/>
      <c r="AK222" s="35"/>
      <c r="AL222" s="35"/>
      <c r="AM222" s="35"/>
      <c r="AN222" s="35"/>
      <c r="AO222" s="35"/>
      <c r="AP222" s="35"/>
      <c r="AQ222" s="35"/>
      <c r="AR222" s="35"/>
      <c r="AS222" s="35"/>
      <c r="AT222" s="35"/>
      <c r="AU222" s="58"/>
      <c r="AV222" s="25"/>
      <c r="AW222" s="58"/>
      <c r="AX222" s="25"/>
      <c r="AY222" s="58"/>
      <c r="AZ222" s="25"/>
      <c r="BA222" s="59"/>
      <c r="BB222" s="17"/>
      <c r="BC222" s="18">
        <f t="shared" ref="BC222:BD222" si="216">AC222+AE222+AG222+AI222+AK222+AM222+AO222+AQ222+AS222+AU222+AW222+AY222+BA222</f>
        <v>10400000</v>
      </c>
      <c r="BD222" s="18">
        <f t="shared" si="216"/>
        <v>10400000</v>
      </c>
      <c r="BE222" s="20">
        <f t="shared" si="1"/>
        <v>0</v>
      </c>
      <c r="BF222" s="20">
        <f t="shared" si="2"/>
        <v>0</v>
      </c>
      <c r="BG222" s="20">
        <f t="shared" si="3"/>
        <v>0</v>
      </c>
    </row>
    <row r="223" spans="1:59" ht="14.25" customHeight="1">
      <c r="A223" s="150" t="s">
        <v>59</v>
      </c>
      <c r="B223" s="150" t="s">
        <v>523</v>
      </c>
      <c r="C223" s="152" t="s">
        <v>524</v>
      </c>
      <c r="D223" s="152" t="s">
        <v>62</v>
      </c>
      <c r="E223" s="152">
        <v>15</v>
      </c>
      <c r="F223" s="150" t="s">
        <v>650</v>
      </c>
      <c r="G223" s="150" t="s">
        <v>526</v>
      </c>
      <c r="H223" s="150" t="s">
        <v>527</v>
      </c>
      <c r="I223" s="150" t="s">
        <v>528</v>
      </c>
      <c r="J223" s="181">
        <v>80111620</v>
      </c>
      <c r="K223" s="150" t="s">
        <v>529</v>
      </c>
      <c r="L223" s="150" t="s">
        <v>83</v>
      </c>
      <c r="M223" s="150" t="s">
        <v>651</v>
      </c>
      <c r="N223" s="182" t="s">
        <v>91</v>
      </c>
      <c r="O223" s="182" t="s">
        <v>91</v>
      </c>
      <c r="P223" s="182" t="s">
        <v>91</v>
      </c>
      <c r="Q223" s="150">
        <v>11.5</v>
      </c>
      <c r="R223" s="150" t="s">
        <v>72</v>
      </c>
      <c r="S223" s="150" t="s">
        <v>73</v>
      </c>
      <c r="T223" s="150" t="s">
        <v>74</v>
      </c>
      <c r="U223" s="183">
        <v>19221955</v>
      </c>
      <c r="V223" s="183">
        <v>19221955</v>
      </c>
      <c r="W223" s="150" t="s">
        <v>75</v>
      </c>
      <c r="X223" s="150" t="s">
        <v>67</v>
      </c>
      <c r="Y223" s="150" t="s">
        <v>206</v>
      </c>
      <c r="Z223" s="150" t="s">
        <v>207</v>
      </c>
      <c r="AA223" s="150">
        <v>6012220601</v>
      </c>
      <c r="AB223" s="184" t="s">
        <v>208</v>
      </c>
      <c r="AC223" s="35">
        <v>20355288</v>
      </c>
      <c r="AD223" s="69"/>
      <c r="AE223" s="35">
        <v>-1133333</v>
      </c>
      <c r="AF223" s="69">
        <v>3116667</v>
      </c>
      <c r="AG223" s="35"/>
      <c r="AH223" s="69"/>
      <c r="AI223" s="35"/>
      <c r="AJ223" s="35"/>
      <c r="AK223" s="35"/>
      <c r="AL223" s="35">
        <v>8500000</v>
      </c>
      <c r="AM223" s="35"/>
      <c r="AN223" s="35"/>
      <c r="AO223" s="35"/>
      <c r="AP223" s="35"/>
      <c r="AQ223" s="35"/>
      <c r="AR223" s="35">
        <v>7242848</v>
      </c>
      <c r="AS223" s="35"/>
      <c r="AT223" s="35"/>
      <c r="AU223" s="71"/>
      <c r="AV223" s="42"/>
      <c r="AW223" s="71"/>
      <c r="AX223" s="42"/>
      <c r="AY223" s="71"/>
      <c r="AZ223" s="70">
        <v>362440</v>
      </c>
      <c r="BA223" s="59"/>
      <c r="BB223" s="17"/>
      <c r="BC223" s="18">
        <f t="shared" ref="BC223:BD223" si="217">AC223+AE223+AG223+AI223+AK223+AM223+AO223+AQ223+AS223+AU223+AW223+AY223+BA223</f>
        <v>19221955</v>
      </c>
      <c r="BD223" s="18">
        <f t="shared" si="217"/>
        <v>19221955</v>
      </c>
      <c r="BE223" s="20">
        <f t="shared" si="1"/>
        <v>0</v>
      </c>
      <c r="BF223" s="20">
        <f t="shared" si="2"/>
        <v>0</v>
      </c>
      <c r="BG223" s="20">
        <f t="shared" si="3"/>
        <v>0</v>
      </c>
    </row>
    <row r="224" spans="1:59" ht="14.25" customHeight="1">
      <c r="A224" s="150" t="s">
        <v>59</v>
      </c>
      <c r="B224" s="150" t="s">
        <v>523</v>
      </c>
      <c r="C224" s="152" t="s">
        <v>524</v>
      </c>
      <c r="D224" s="152" t="s">
        <v>62</v>
      </c>
      <c r="E224" s="152">
        <v>15</v>
      </c>
      <c r="F224" s="150" t="s">
        <v>652</v>
      </c>
      <c r="G224" s="150" t="s">
        <v>526</v>
      </c>
      <c r="H224" s="150" t="s">
        <v>527</v>
      </c>
      <c r="I224" s="150" t="s">
        <v>528</v>
      </c>
      <c r="J224" s="181">
        <v>80111620</v>
      </c>
      <c r="K224" s="150" t="s">
        <v>529</v>
      </c>
      <c r="L224" s="150" t="s">
        <v>83</v>
      </c>
      <c r="M224" s="150" t="s">
        <v>653</v>
      </c>
      <c r="N224" s="182" t="s">
        <v>91</v>
      </c>
      <c r="O224" s="182" t="s">
        <v>91</v>
      </c>
      <c r="P224" s="182" t="s">
        <v>91</v>
      </c>
      <c r="Q224" s="150">
        <v>11.5</v>
      </c>
      <c r="R224" s="150" t="s">
        <v>72</v>
      </c>
      <c r="S224" s="150" t="s">
        <v>73</v>
      </c>
      <c r="T224" s="150" t="s">
        <v>74</v>
      </c>
      <c r="U224" s="183">
        <v>19221955</v>
      </c>
      <c r="V224" s="183">
        <v>19221955</v>
      </c>
      <c r="W224" s="150" t="s">
        <v>75</v>
      </c>
      <c r="X224" s="150" t="s">
        <v>67</v>
      </c>
      <c r="Y224" s="150" t="s">
        <v>206</v>
      </c>
      <c r="Z224" s="150" t="s">
        <v>207</v>
      </c>
      <c r="AA224" s="150">
        <v>6012220601</v>
      </c>
      <c r="AB224" s="184" t="s">
        <v>208</v>
      </c>
      <c r="AC224" s="35">
        <v>20355288</v>
      </c>
      <c r="AD224" s="69"/>
      <c r="AE224" s="35">
        <v>-1133333</v>
      </c>
      <c r="AF224" s="69">
        <v>3116667</v>
      </c>
      <c r="AG224" s="35"/>
      <c r="AH224" s="69">
        <v>8500000</v>
      </c>
      <c r="AI224" s="35"/>
      <c r="AJ224" s="35">
        <v>7605288</v>
      </c>
      <c r="AK224" s="35"/>
      <c r="AL224" s="35"/>
      <c r="AM224" s="35"/>
      <c r="AN224" s="35"/>
      <c r="AO224" s="35"/>
      <c r="AP224" s="35"/>
      <c r="AQ224" s="35"/>
      <c r="AR224" s="35"/>
      <c r="AS224" s="35"/>
      <c r="AT224" s="35"/>
      <c r="AU224" s="71"/>
      <c r="AV224" s="42"/>
      <c r="AW224" s="71"/>
      <c r="AX224" s="42"/>
      <c r="AY224" s="71"/>
      <c r="AZ224" s="42"/>
      <c r="BA224" s="59"/>
      <c r="BB224" s="17"/>
      <c r="BC224" s="18">
        <f t="shared" ref="BC224:BD224" si="218">AC224+AE224+AG224+AI224+AK224+AM224+AO224+AQ224+AS224+AU224+AW224+AY224+BA224</f>
        <v>19221955</v>
      </c>
      <c r="BD224" s="18">
        <f t="shared" si="218"/>
        <v>19221955</v>
      </c>
      <c r="BE224" s="20">
        <f t="shared" si="1"/>
        <v>0</v>
      </c>
      <c r="BF224" s="20">
        <f t="shared" si="2"/>
        <v>0</v>
      </c>
      <c r="BG224" s="20">
        <f t="shared" si="3"/>
        <v>0</v>
      </c>
    </row>
    <row r="225" spans="1:59" ht="14.25" customHeight="1">
      <c r="A225" s="149" t="s">
        <v>59</v>
      </c>
      <c r="B225" s="149" t="s">
        <v>523</v>
      </c>
      <c r="C225" s="151" t="s">
        <v>524</v>
      </c>
      <c r="D225" s="166" t="s">
        <v>62</v>
      </c>
      <c r="E225" s="151">
        <v>28</v>
      </c>
      <c r="F225" s="149" t="s">
        <v>654</v>
      </c>
      <c r="G225" s="149" t="s">
        <v>583</v>
      </c>
      <c r="H225" s="149" t="s">
        <v>584</v>
      </c>
      <c r="I225" s="149" t="s">
        <v>589</v>
      </c>
      <c r="J225" s="173">
        <v>80111620</v>
      </c>
      <c r="K225" s="149" t="s">
        <v>586</v>
      </c>
      <c r="L225" s="149" t="s">
        <v>83</v>
      </c>
      <c r="M225" s="149" t="s">
        <v>655</v>
      </c>
      <c r="N225" s="149" t="s">
        <v>91</v>
      </c>
      <c r="O225" s="149" t="s">
        <v>91</v>
      </c>
      <c r="P225" s="165" t="s">
        <v>85</v>
      </c>
      <c r="Q225" s="149">
        <v>10</v>
      </c>
      <c r="R225" s="149" t="s">
        <v>72</v>
      </c>
      <c r="S225" s="147" t="s">
        <v>73</v>
      </c>
      <c r="T225" s="149" t="s">
        <v>74</v>
      </c>
      <c r="U225" s="175">
        <v>52416881</v>
      </c>
      <c r="V225" s="175">
        <v>52416881</v>
      </c>
      <c r="W225" s="149" t="s">
        <v>75</v>
      </c>
      <c r="X225" s="149" t="s">
        <v>67</v>
      </c>
      <c r="Y225" s="149" t="s">
        <v>531</v>
      </c>
      <c r="Z225" s="149" t="s">
        <v>532</v>
      </c>
      <c r="AA225" s="149">
        <v>6012220601</v>
      </c>
      <c r="AB225" s="172" t="s">
        <v>533</v>
      </c>
      <c r="AC225" s="35"/>
      <c r="AD225" s="69"/>
      <c r="AE225" s="35">
        <v>26780667</v>
      </c>
      <c r="AF225" s="69"/>
      <c r="AG225" s="35"/>
      <c r="AH225" s="69">
        <v>4816667</v>
      </c>
      <c r="AI225" s="35"/>
      <c r="AJ225" s="35">
        <v>5780000</v>
      </c>
      <c r="AK225" s="35"/>
      <c r="AL225" s="35">
        <v>5780000</v>
      </c>
      <c r="AM225" s="35">
        <v>25636214</v>
      </c>
      <c r="AN225" s="35">
        <v>5780000</v>
      </c>
      <c r="AO225" s="35"/>
      <c r="AP225" s="35">
        <v>5780000</v>
      </c>
      <c r="AQ225" s="35"/>
      <c r="AR225" s="35">
        <v>5780000</v>
      </c>
      <c r="AS225" s="35"/>
      <c r="AT225" s="35">
        <v>5780000</v>
      </c>
      <c r="AU225" s="61"/>
      <c r="AV225" s="15">
        <v>5780000</v>
      </c>
      <c r="AW225" s="61"/>
      <c r="AX225" s="15">
        <v>5780000</v>
      </c>
      <c r="AY225" s="61"/>
      <c r="AZ225" s="15">
        <v>1360214</v>
      </c>
      <c r="BA225" s="59"/>
      <c r="BB225" s="17"/>
      <c r="BC225" s="18">
        <f t="shared" ref="BC225:BD225" si="219">AC225+AE225+AG225+AI225+AK225+AM225+AO225+AQ225+AS225+AU225+AW225+AY225+BA225</f>
        <v>52416881</v>
      </c>
      <c r="BD225" s="18">
        <f t="shared" si="219"/>
        <v>52416881</v>
      </c>
      <c r="BE225" s="20">
        <f t="shared" si="1"/>
        <v>0</v>
      </c>
      <c r="BF225" s="20">
        <f t="shared" si="2"/>
        <v>0</v>
      </c>
      <c r="BG225" s="20">
        <f t="shared" si="3"/>
        <v>0</v>
      </c>
    </row>
    <row r="226" spans="1:59" ht="14.25" customHeight="1">
      <c r="A226" s="149" t="s">
        <v>59</v>
      </c>
      <c r="B226" s="149" t="s">
        <v>523</v>
      </c>
      <c r="C226" s="151" t="s">
        <v>524</v>
      </c>
      <c r="D226" s="166" t="s">
        <v>62</v>
      </c>
      <c r="E226" s="151">
        <v>15</v>
      </c>
      <c r="F226" s="149" t="s">
        <v>656</v>
      </c>
      <c r="G226" s="149" t="s">
        <v>657</v>
      </c>
      <c r="H226" s="149" t="s">
        <v>527</v>
      </c>
      <c r="I226" s="149" t="s">
        <v>528</v>
      </c>
      <c r="J226" s="173">
        <v>43233501</v>
      </c>
      <c r="K226" s="149" t="s">
        <v>529</v>
      </c>
      <c r="L226" s="149" t="s">
        <v>145</v>
      </c>
      <c r="M226" s="149" t="s">
        <v>658</v>
      </c>
      <c r="N226" s="149" t="s">
        <v>100</v>
      </c>
      <c r="O226" s="149" t="s">
        <v>142</v>
      </c>
      <c r="P226" s="149" t="s">
        <v>71</v>
      </c>
      <c r="Q226" s="149">
        <v>12</v>
      </c>
      <c r="R226" s="149" t="s">
        <v>72</v>
      </c>
      <c r="S226" s="147" t="s">
        <v>143</v>
      </c>
      <c r="T226" s="149" t="s">
        <v>74</v>
      </c>
      <c r="U226" s="175">
        <v>41647648</v>
      </c>
      <c r="V226" s="175">
        <v>41647648</v>
      </c>
      <c r="W226" s="149" t="s">
        <v>75</v>
      </c>
      <c r="X226" s="149" t="s">
        <v>67</v>
      </c>
      <c r="Y226" s="147" t="s">
        <v>147</v>
      </c>
      <c r="Z226" s="149" t="s">
        <v>532</v>
      </c>
      <c r="AA226" s="149">
        <v>6012220601</v>
      </c>
      <c r="AB226" s="172" t="s">
        <v>149</v>
      </c>
      <c r="AC226" s="35"/>
      <c r="AD226" s="69"/>
      <c r="AE226" s="35"/>
      <c r="AF226" s="69"/>
      <c r="AG226" s="35"/>
      <c r="AH226" s="69"/>
      <c r="AI226" s="35"/>
      <c r="AJ226" s="35"/>
      <c r="AK226" s="35"/>
      <c r="AL226" s="35"/>
      <c r="AM226" s="35"/>
      <c r="AN226" s="35"/>
      <c r="AO226" s="35"/>
      <c r="AP226" s="35"/>
      <c r="AQ226" s="35"/>
      <c r="AR226" s="35"/>
      <c r="AS226" s="35"/>
      <c r="AT226" s="35"/>
      <c r="AU226" s="32">
        <v>41647648</v>
      </c>
      <c r="AV226" s="25"/>
      <c r="AW226" s="58"/>
      <c r="AX226" s="25"/>
      <c r="AY226" s="58"/>
      <c r="AZ226" s="15">
        <v>41647648</v>
      </c>
      <c r="BA226" s="59"/>
      <c r="BB226" s="17"/>
      <c r="BC226" s="18">
        <f t="shared" ref="BC226:BD226" si="220">AC226+AE226+AG226+AI226+AK226+AM226+AO226+AQ226+AS226+AU226+AW226+AY226+BA226</f>
        <v>41647648</v>
      </c>
      <c r="BD226" s="18">
        <f t="shared" si="220"/>
        <v>41647648</v>
      </c>
      <c r="BE226" s="20">
        <f t="shared" si="1"/>
        <v>0</v>
      </c>
      <c r="BF226" s="20">
        <f t="shared" si="2"/>
        <v>0</v>
      </c>
      <c r="BG226" s="20">
        <f t="shared" si="3"/>
        <v>0</v>
      </c>
    </row>
    <row r="227" spans="1:59" ht="14.25" customHeight="1">
      <c r="A227" s="149" t="s">
        <v>59</v>
      </c>
      <c r="B227" s="149" t="s">
        <v>523</v>
      </c>
      <c r="C227" s="151" t="s">
        <v>524</v>
      </c>
      <c r="D227" s="166" t="s">
        <v>62</v>
      </c>
      <c r="E227" s="151">
        <v>47</v>
      </c>
      <c r="F227" s="149" t="s">
        <v>659</v>
      </c>
      <c r="G227" s="149" t="s">
        <v>657</v>
      </c>
      <c r="H227" s="149" t="s">
        <v>527</v>
      </c>
      <c r="I227" s="149" t="s">
        <v>528</v>
      </c>
      <c r="J227" s="173">
        <v>43233600</v>
      </c>
      <c r="K227" s="149" t="s">
        <v>529</v>
      </c>
      <c r="L227" s="149" t="s">
        <v>83</v>
      </c>
      <c r="M227" s="149" t="s">
        <v>660</v>
      </c>
      <c r="N227" s="149" t="s">
        <v>180</v>
      </c>
      <c r="O227" s="149" t="s">
        <v>180</v>
      </c>
      <c r="P227" s="149" t="s">
        <v>180</v>
      </c>
      <c r="Q227" s="149">
        <v>12</v>
      </c>
      <c r="R227" s="149" t="s">
        <v>72</v>
      </c>
      <c r="S227" s="147" t="s">
        <v>143</v>
      </c>
      <c r="T227" s="149" t="s">
        <v>74</v>
      </c>
      <c r="U227" s="175">
        <v>95831166</v>
      </c>
      <c r="V227" s="175">
        <v>95831166</v>
      </c>
      <c r="W227" s="149" t="s">
        <v>75</v>
      </c>
      <c r="X227" s="149" t="s">
        <v>67</v>
      </c>
      <c r="Y227" s="149" t="s">
        <v>531</v>
      </c>
      <c r="Z227" s="149" t="s">
        <v>532</v>
      </c>
      <c r="AA227" s="149">
        <v>6012220601</v>
      </c>
      <c r="AB227" s="172" t="s">
        <v>533</v>
      </c>
      <c r="AC227" s="35"/>
      <c r="AD227" s="69"/>
      <c r="AE227" s="35"/>
      <c r="AF227" s="69"/>
      <c r="AG227" s="35"/>
      <c r="AH227" s="69"/>
      <c r="AI227" s="35"/>
      <c r="AJ227" s="35"/>
      <c r="AK227" s="35"/>
      <c r="AL227" s="35"/>
      <c r="AM227" s="35"/>
      <c r="AN227" s="35"/>
      <c r="AO227" s="35"/>
      <c r="AP227" s="35"/>
      <c r="AQ227" s="35"/>
      <c r="AR227" s="35"/>
      <c r="AS227" s="35"/>
      <c r="AT227" s="35"/>
      <c r="AU227" s="72">
        <v>95831166</v>
      </c>
      <c r="AV227" s="25"/>
      <c r="AW227" s="58"/>
      <c r="AX227" s="25">
        <v>95831166</v>
      </c>
      <c r="AY227" s="58"/>
      <c r="AZ227" s="15"/>
      <c r="BA227" s="59"/>
      <c r="BB227" s="17"/>
      <c r="BC227" s="18">
        <f t="shared" ref="BC227:BD227" si="221">AC227+AE227+AG227+AI227+AK227+AM227+AO227+AQ227+AS227+AU227+AW227+AY227+BA227</f>
        <v>95831166</v>
      </c>
      <c r="BD227" s="18">
        <f t="shared" si="221"/>
        <v>95831166</v>
      </c>
      <c r="BE227" s="20">
        <f t="shared" si="1"/>
        <v>0</v>
      </c>
      <c r="BF227" s="20">
        <f t="shared" si="2"/>
        <v>0</v>
      </c>
      <c r="BG227" s="20">
        <f t="shared" si="3"/>
        <v>0</v>
      </c>
    </row>
    <row r="228" spans="1:59" ht="14.25" customHeight="1">
      <c r="A228" s="149" t="s">
        <v>59</v>
      </c>
      <c r="B228" s="149" t="s">
        <v>523</v>
      </c>
      <c r="C228" s="151" t="s">
        <v>524</v>
      </c>
      <c r="D228" s="166" t="s">
        <v>62</v>
      </c>
      <c r="E228" s="151">
        <v>48</v>
      </c>
      <c r="F228" s="149" t="s">
        <v>661</v>
      </c>
      <c r="G228" s="149" t="s">
        <v>657</v>
      </c>
      <c r="H228" s="149" t="s">
        <v>527</v>
      </c>
      <c r="I228" s="149" t="s">
        <v>528</v>
      </c>
      <c r="J228" s="173">
        <v>80111620</v>
      </c>
      <c r="K228" s="149" t="s">
        <v>529</v>
      </c>
      <c r="L228" s="149" t="s">
        <v>83</v>
      </c>
      <c r="M228" s="149" t="s">
        <v>662</v>
      </c>
      <c r="N228" s="149" t="s">
        <v>180</v>
      </c>
      <c r="O228" s="149" t="s">
        <v>180</v>
      </c>
      <c r="P228" s="149" t="s">
        <v>226</v>
      </c>
      <c r="Q228" s="149">
        <v>2</v>
      </c>
      <c r="R228" s="149" t="s">
        <v>72</v>
      </c>
      <c r="S228" s="147" t="s">
        <v>536</v>
      </c>
      <c r="T228" s="149" t="s">
        <v>74</v>
      </c>
      <c r="U228" s="175">
        <v>16000000</v>
      </c>
      <c r="V228" s="175">
        <v>16000000</v>
      </c>
      <c r="W228" s="149" t="s">
        <v>75</v>
      </c>
      <c r="X228" s="149" t="s">
        <v>67</v>
      </c>
      <c r="Y228" s="149" t="s">
        <v>531</v>
      </c>
      <c r="Z228" s="149" t="s">
        <v>532</v>
      </c>
      <c r="AA228" s="149">
        <v>6012220601</v>
      </c>
      <c r="AB228" s="172" t="s">
        <v>533</v>
      </c>
      <c r="AC228" s="35"/>
      <c r="AD228" s="69"/>
      <c r="AE228" s="35"/>
      <c r="AF228" s="69"/>
      <c r="AG228" s="35"/>
      <c r="AH228" s="69"/>
      <c r="AI228" s="35"/>
      <c r="AJ228" s="35"/>
      <c r="AK228" s="35"/>
      <c r="AL228" s="35"/>
      <c r="AM228" s="35"/>
      <c r="AN228" s="35"/>
      <c r="AO228" s="35"/>
      <c r="AP228" s="35"/>
      <c r="AQ228" s="35"/>
      <c r="AR228" s="35"/>
      <c r="AS228" s="35"/>
      <c r="AT228" s="35"/>
      <c r="AU228" s="58"/>
      <c r="AV228" s="25"/>
      <c r="AW228" s="32">
        <v>16000000</v>
      </c>
      <c r="AX228" s="25"/>
      <c r="AY228" s="58"/>
      <c r="AZ228" s="15">
        <v>16000000</v>
      </c>
      <c r="BA228" s="59"/>
      <c r="BB228" s="17"/>
      <c r="BC228" s="18">
        <f t="shared" ref="BC228:BD228" si="222">AC228+AE228+AG228+AI228+AK228+AM228+AO228+AQ228+AS228+AU228+AW228+AY228+BA228</f>
        <v>16000000</v>
      </c>
      <c r="BD228" s="18">
        <f t="shared" si="222"/>
        <v>16000000</v>
      </c>
      <c r="BE228" s="20">
        <f t="shared" si="1"/>
        <v>0</v>
      </c>
      <c r="BF228" s="20">
        <f t="shared" si="2"/>
        <v>0</v>
      </c>
      <c r="BG228" s="20">
        <f t="shared" si="3"/>
        <v>0</v>
      </c>
    </row>
    <row r="229" spans="1:59" ht="14.25" customHeight="1">
      <c r="A229" s="149" t="s">
        <v>59</v>
      </c>
      <c r="B229" s="149" t="s">
        <v>523</v>
      </c>
      <c r="C229" s="151" t="s">
        <v>524</v>
      </c>
      <c r="D229" s="166" t="s">
        <v>62</v>
      </c>
      <c r="E229" s="151">
        <v>16</v>
      </c>
      <c r="F229" s="149" t="s">
        <v>663</v>
      </c>
      <c r="G229" s="149" t="s">
        <v>657</v>
      </c>
      <c r="H229" s="149" t="s">
        <v>527</v>
      </c>
      <c r="I229" s="149" t="s">
        <v>528</v>
      </c>
      <c r="J229" s="173">
        <v>80111620</v>
      </c>
      <c r="K229" s="149" t="s">
        <v>529</v>
      </c>
      <c r="L229" s="149" t="s">
        <v>83</v>
      </c>
      <c r="M229" s="149" t="s">
        <v>664</v>
      </c>
      <c r="N229" s="149" t="s">
        <v>180</v>
      </c>
      <c r="O229" s="149" t="s">
        <v>180</v>
      </c>
      <c r="P229" s="149" t="s">
        <v>180</v>
      </c>
      <c r="Q229" s="149">
        <v>2</v>
      </c>
      <c r="R229" s="149" t="s">
        <v>72</v>
      </c>
      <c r="S229" s="147" t="s">
        <v>73</v>
      </c>
      <c r="T229" s="149" t="s">
        <v>74</v>
      </c>
      <c r="U229" s="175">
        <v>14032000</v>
      </c>
      <c r="V229" s="175">
        <v>14032000</v>
      </c>
      <c r="W229" s="149" t="s">
        <v>75</v>
      </c>
      <c r="X229" s="149" t="s">
        <v>67</v>
      </c>
      <c r="Y229" s="149" t="s">
        <v>531</v>
      </c>
      <c r="Z229" s="149" t="s">
        <v>532</v>
      </c>
      <c r="AA229" s="149">
        <v>6012220601</v>
      </c>
      <c r="AB229" s="172" t="s">
        <v>533</v>
      </c>
      <c r="AC229" s="35"/>
      <c r="AD229" s="69"/>
      <c r="AE229" s="35"/>
      <c r="AF229" s="69"/>
      <c r="AG229" s="35"/>
      <c r="AH229" s="69"/>
      <c r="AI229" s="35"/>
      <c r="AJ229" s="35"/>
      <c r="AK229" s="35"/>
      <c r="AL229" s="35"/>
      <c r="AM229" s="35"/>
      <c r="AN229" s="35"/>
      <c r="AO229" s="35"/>
      <c r="AP229" s="35"/>
      <c r="AQ229" s="35"/>
      <c r="AR229" s="35"/>
      <c r="AS229" s="35"/>
      <c r="AT229" s="35"/>
      <c r="AU229" s="58"/>
      <c r="AV229" s="25"/>
      <c r="AW229" s="58">
        <v>14032000</v>
      </c>
      <c r="AX229" s="25"/>
      <c r="AY229" s="58"/>
      <c r="AZ229" s="15">
        <v>14032000</v>
      </c>
      <c r="BA229" s="59"/>
      <c r="BB229" s="17"/>
      <c r="BC229" s="18">
        <f t="shared" ref="BC229:BD229" si="223">AC229+AE229+AG229+AI229+AK229+AM229+AO229+AQ229+AS229+AU229+AW229+AY229+BA229</f>
        <v>14032000</v>
      </c>
      <c r="BD229" s="18">
        <f t="shared" si="223"/>
        <v>14032000</v>
      </c>
      <c r="BE229" s="20">
        <f t="shared" si="1"/>
        <v>0</v>
      </c>
      <c r="BF229" s="20">
        <f t="shared" si="2"/>
        <v>0</v>
      </c>
      <c r="BG229" s="20">
        <f t="shared" si="3"/>
        <v>0</v>
      </c>
    </row>
    <row r="230" spans="1:59" ht="14.25" customHeight="1">
      <c r="A230" s="149" t="s">
        <v>59</v>
      </c>
      <c r="B230" s="149" t="s">
        <v>523</v>
      </c>
      <c r="C230" s="151" t="s">
        <v>524</v>
      </c>
      <c r="D230" s="166" t="s">
        <v>62</v>
      </c>
      <c r="E230" s="151">
        <v>16</v>
      </c>
      <c r="F230" s="149" t="s">
        <v>665</v>
      </c>
      <c r="G230" s="149" t="s">
        <v>657</v>
      </c>
      <c r="H230" s="149" t="s">
        <v>527</v>
      </c>
      <c r="I230" s="149" t="s">
        <v>528</v>
      </c>
      <c r="J230" s="173">
        <v>80111620</v>
      </c>
      <c r="K230" s="149" t="s">
        <v>529</v>
      </c>
      <c r="L230" s="149" t="s">
        <v>83</v>
      </c>
      <c r="M230" s="149" t="s">
        <v>666</v>
      </c>
      <c r="N230" s="149" t="s">
        <v>180</v>
      </c>
      <c r="O230" s="149" t="s">
        <v>180</v>
      </c>
      <c r="P230" s="149" t="s">
        <v>180</v>
      </c>
      <c r="Q230" s="149">
        <v>2</v>
      </c>
      <c r="R230" s="149" t="s">
        <v>72</v>
      </c>
      <c r="S230" s="147" t="s">
        <v>73</v>
      </c>
      <c r="T230" s="149" t="s">
        <v>74</v>
      </c>
      <c r="U230" s="175">
        <v>6258000</v>
      </c>
      <c r="V230" s="175">
        <v>6258000</v>
      </c>
      <c r="W230" s="149" t="s">
        <v>75</v>
      </c>
      <c r="X230" s="149" t="s">
        <v>67</v>
      </c>
      <c r="Y230" s="149" t="s">
        <v>531</v>
      </c>
      <c r="Z230" s="149" t="s">
        <v>532</v>
      </c>
      <c r="AA230" s="149">
        <v>6012220601</v>
      </c>
      <c r="AB230" s="172" t="s">
        <v>533</v>
      </c>
      <c r="AC230" s="35"/>
      <c r="AD230" s="69"/>
      <c r="AE230" s="35"/>
      <c r="AF230" s="69"/>
      <c r="AG230" s="35"/>
      <c r="AH230" s="69"/>
      <c r="AI230" s="35"/>
      <c r="AJ230" s="35"/>
      <c r="AK230" s="35"/>
      <c r="AL230" s="35"/>
      <c r="AM230" s="35"/>
      <c r="AN230" s="35"/>
      <c r="AO230" s="35"/>
      <c r="AP230" s="35"/>
      <c r="AQ230" s="35"/>
      <c r="AR230" s="35"/>
      <c r="AS230" s="35"/>
      <c r="AT230" s="35"/>
      <c r="AU230" s="58"/>
      <c r="AV230" s="25"/>
      <c r="AW230" s="58">
        <v>6258000</v>
      </c>
      <c r="AX230" s="25">
        <v>3129000</v>
      </c>
      <c r="AY230" s="58"/>
      <c r="AZ230" s="15">
        <v>3129000</v>
      </c>
      <c r="BA230" s="59"/>
      <c r="BB230" s="17"/>
      <c r="BC230" s="18">
        <f t="shared" ref="BC230:BD230" si="224">AC230+AE230+AG230+AI230+AK230+AM230+AO230+AQ230+AS230+AU230+AW230+AY230+BA230</f>
        <v>6258000</v>
      </c>
      <c r="BD230" s="18">
        <f t="shared" si="224"/>
        <v>6258000</v>
      </c>
      <c r="BE230" s="20">
        <f t="shared" si="1"/>
        <v>0</v>
      </c>
      <c r="BF230" s="20">
        <f t="shared" si="2"/>
        <v>0</v>
      </c>
      <c r="BG230" s="20">
        <f t="shared" si="3"/>
        <v>0</v>
      </c>
    </row>
    <row r="231" spans="1:59" ht="14.25" customHeight="1">
      <c r="A231" s="149" t="s">
        <v>59</v>
      </c>
      <c r="B231" s="149" t="s">
        <v>523</v>
      </c>
      <c r="C231" s="151" t="s">
        <v>524</v>
      </c>
      <c r="D231" s="166" t="s">
        <v>62</v>
      </c>
      <c r="E231" s="151">
        <v>16</v>
      </c>
      <c r="F231" s="149" t="s">
        <v>667</v>
      </c>
      <c r="G231" s="149" t="s">
        <v>657</v>
      </c>
      <c r="H231" s="149" t="s">
        <v>527</v>
      </c>
      <c r="I231" s="149" t="s">
        <v>528</v>
      </c>
      <c r="J231" s="173">
        <v>80111620</v>
      </c>
      <c r="K231" s="149" t="s">
        <v>529</v>
      </c>
      <c r="L231" s="149" t="s">
        <v>83</v>
      </c>
      <c r="M231" s="149" t="s">
        <v>668</v>
      </c>
      <c r="N231" s="149" t="s">
        <v>180</v>
      </c>
      <c r="O231" s="149" t="s">
        <v>180</v>
      </c>
      <c r="P231" s="149" t="s">
        <v>180</v>
      </c>
      <c r="Q231" s="149">
        <v>2</v>
      </c>
      <c r="R231" s="149" t="s">
        <v>72</v>
      </c>
      <c r="S231" s="147" t="s">
        <v>73</v>
      </c>
      <c r="T231" s="149" t="s">
        <v>74</v>
      </c>
      <c r="U231" s="175">
        <v>9970000</v>
      </c>
      <c r="V231" s="175">
        <v>9970000</v>
      </c>
      <c r="W231" s="149" t="s">
        <v>75</v>
      </c>
      <c r="X231" s="149" t="s">
        <v>67</v>
      </c>
      <c r="Y231" s="149" t="s">
        <v>531</v>
      </c>
      <c r="Z231" s="149" t="s">
        <v>532</v>
      </c>
      <c r="AA231" s="149">
        <v>6012220601</v>
      </c>
      <c r="AB231" s="172" t="s">
        <v>533</v>
      </c>
      <c r="AC231" s="35"/>
      <c r="AD231" s="69"/>
      <c r="AE231" s="35"/>
      <c r="AF231" s="69"/>
      <c r="AG231" s="35"/>
      <c r="AH231" s="69"/>
      <c r="AI231" s="35"/>
      <c r="AJ231" s="35"/>
      <c r="AK231" s="35"/>
      <c r="AL231" s="35"/>
      <c r="AM231" s="35"/>
      <c r="AN231" s="35"/>
      <c r="AO231" s="35"/>
      <c r="AP231" s="35"/>
      <c r="AQ231" s="35"/>
      <c r="AR231" s="35"/>
      <c r="AS231" s="35"/>
      <c r="AT231" s="35"/>
      <c r="AU231" s="58"/>
      <c r="AV231" s="25"/>
      <c r="AW231" s="58">
        <v>9970000</v>
      </c>
      <c r="AX231" s="25">
        <v>4985000</v>
      </c>
      <c r="AY231" s="58"/>
      <c r="AZ231" s="15">
        <v>4985000</v>
      </c>
      <c r="BA231" s="59"/>
      <c r="BB231" s="17"/>
      <c r="BC231" s="18">
        <f t="shared" ref="BC231:BD231" si="225">AC231+AE231+AG231+AI231+AK231+AM231+AO231+AQ231+AS231+AU231+AW231+AY231+BA231</f>
        <v>9970000</v>
      </c>
      <c r="BD231" s="18">
        <f t="shared" si="225"/>
        <v>9970000</v>
      </c>
      <c r="BE231" s="20">
        <f t="shared" si="1"/>
        <v>0</v>
      </c>
      <c r="BF231" s="20">
        <f t="shared" si="2"/>
        <v>0</v>
      </c>
      <c r="BG231" s="20">
        <f t="shared" si="3"/>
        <v>0</v>
      </c>
    </row>
    <row r="232" spans="1:59" ht="14.25" customHeight="1">
      <c r="A232" s="149" t="s">
        <v>59</v>
      </c>
      <c r="B232" s="149" t="s">
        <v>523</v>
      </c>
      <c r="C232" s="151" t="s">
        <v>524</v>
      </c>
      <c r="D232" s="166" t="s">
        <v>62</v>
      </c>
      <c r="E232" s="151">
        <v>46</v>
      </c>
      <c r="F232" s="149" t="s">
        <v>669</v>
      </c>
      <c r="G232" s="149" t="s">
        <v>657</v>
      </c>
      <c r="H232" s="149" t="s">
        <v>527</v>
      </c>
      <c r="I232" s="149" t="s">
        <v>528</v>
      </c>
      <c r="J232" s="173">
        <v>80111620</v>
      </c>
      <c r="K232" s="149" t="s">
        <v>529</v>
      </c>
      <c r="L232" s="149" t="s">
        <v>83</v>
      </c>
      <c r="M232" s="149" t="s">
        <v>670</v>
      </c>
      <c r="N232" s="149" t="s">
        <v>180</v>
      </c>
      <c r="O232" s="149" t="s">
        <v>180</v>
      </c>
      <c r="P232" s="149" t="s">
        <v>180</v>
      </c>
      <c r="Q232" s="149">
        <v>2</v>
      </c>
      <c r="R232" s="149" t="s">
        <v>72</v>
      </c>
      <c r="S232" s="147" t="s">
        <v>73</v>
      </c>
      <c r="T232" s="149" t="s">
        <v>74</v>
      </c>
      <c r="U232" s="175">
        <v>4331963</v>
      </c>
      <c r="V232" s="175">
        <v>4331963</v>
      </c>
      <c r="W232" s="149" t="s">
        <v>75</v>
      </c>
      <c r="X232" s="149" t="s">
        <v>67</v>
      </c>
      <c r="Y232" s="149" t="s">
        <v>531</v>
      </c>
      <c r="Z232" s="149" t="s">
        <v>532</v>
      </c>
      <c r="AA232" s="149">
        <v>6012220601</v>
      </c>
      <c r="AB232" s="172" t="s">
        <v>533</v>
      </c>
      <c r="AC232" s="35"/>
      <c r="AD232" s="69"/>
      <c r="AE232" s="35"/>
      <c r="AF232" s="69"/>
      <c r="AG232" s="35"/>
      <c r="AH232" s="69"/>
      <c r="AI232" s="35"/>
      <c r="AJ232" s="35"/>
      <c r="AK232" s="35"/>
      <c r="AL232" s="35"/>
      <c r="AM232" s="35"/>
      <c r="AN232" s="35"/>
      <c r="AO232" s="35"/>
      <c r="AP232" s="35"/>
      <c r="AQ232" s="35"/>
      <c r="AR232" s="35"/>
      <c r="AS232" s="35"/>
      <c r="AT232" s="35"/>
      <c r="AU232" s="58"/>
      <c r="AV232" s="25"/>
      <c r="AW232" s="58">
        <v>4331963</v>
      </c>
      <c r="AX232" s="25">
        <v>4331963</v>
      </c>
      <c r="AY232" s="58"/>
      <c r="AZ232" s="15"/>
      <c r="BA232" s="59"/>
      <c r="BB232" s="17"/>
      <c r="BC232" s="18">
        <f t="shared" ref="BC232:BD232" si="226">AC232+AE232+AG232+AI232+AK232+AM232+AO232+AQ232+AS232+AU232+AW232+AY232+BA232</f>
        <v>4331963</v>
      </c>
      <c r="BD232" s="18">
        <f t="shared" si="226"/>
        <v>4331963</v>
      </c>
      <c r="BE232" s="20">
        <f t="shared" si="1"/>
        <v>0</v>
      </c>
      <c r="BF232" s="20">
        <f t="shared" si="2"/>
        <v>0</v>
      </c>
      <c r="BG232" s="20">
        <f t="shared" si="3"/>
        <v>0</v>
      </c>
    </row>
    <row r="233" spans="1:59" ht="14.25" customHeight="1">
      <c r="A233" s="149" t="s">
        <v>59</v>
      </c>
      <c r="B233" s="149" t="s">
        <v>523</v>
      </c>
      <c r="C233" s="151" t="s">
        <v>524</v>
      </c>
      <c r="D233" s="166" t="s">
        <v>62</v>
      </c>
      <c r="E233" s="151">
        <v>28</v>
      </c>
      <c r="F233" s="149" t="s">
        <v>671</v>
      </c>
      <c r="G233" s="149" t="s">
        <v>657</v>
      </c>
      <c r="H233" s="149" t="s">
        <v>527</v>
      </c>
      <c r="I233" s="149" t="s">
        <v>528</v>
      </c>
      <c r="J233" s="173">
        <v>80111620</v>
      </c>
      <c r="K233" s="149" t="s">
        <v>529</v>
      </c>
      <c r="L233" s="149" t="s">
        <v>83</v>
      </c>
      <c r="M233" s="149" t="s">
        <v>672</v>
      </c>
      <c r="N233" s="149" t="s">
        <v>99</v>
      </c>
      <c r="O233" s="149" t="s">
        <v>99</v>
      </c>
      <c r="P233" s="149" t="s">
        <v>99</v>
      </c>
      <c r="Q233" s="149">
        <v>8</v>
      </c>
      <c r="R233" s="149" t="s">
        <v>72</v>
      </c>
      <c r="S233" s="147" t="s">
        <v>73</v>
      </c>
      <c r="T233" s="149" t="s">
        <v>74</v>
      </c>
      <c r="U233" s="175">
        <v>81066666</v>
      </c>
      <c r="V233" s="175">
        <v>81066666</v>
      </c>
      <c r="W233" s="149" t="s">
        <v>75</v>
      </c>
      <c r="X233" s="149" t="s">
        <v>67</v>
      </c>
      <c r="Y233" s="149" t="s">
        <v>531</v>
      </c>
      <c r="Z233" s="149" t="s">
        <v>532</v>
      </c>
      <c r="AA233" s="149">
        <v>6012220601</v>
      </c>
      <c r="AB233" s="172" t="s">
        <v>533</v>
      </c>
      <c r="AC233" s="35"/>
      <c r="AD233" s="69"/>
      <c r="AE233" s="35"/>
      <c r="AF233" s="69"/>
      <c r="AG233" s="35"/>
      <c r="AH233" s="69"/>
      <c r="AI233" s="35">
        <v>82333333</v>
      </c>
      <c r="AJ233" s="35"/>
      <c r="AK233" s="35">
        <v>-1266667</v>
      </c>
      <c r="AL233" s="35">
        <v>5066667</v>
      </c>
      <c r="AM233" s="35"/>
      <c r="AN233" s="35">
        <v>9500000</v>
      </c>
      <c r="AO233" s="35"/>
      <c r="AP233" s="35">
        <v>9500000</v>
      </c>
      <c r="AQ233" s="35"/>
      <c r="AR233" s="35">
        <v>9500000</v>
      </c>
      <c r="AS233" s="35"/>
      <c r="AT233" s="35">
        <v>9500000</v>
      </c>
      <c r="AU233" s="58"/>
      <c r="AV233" s="25">
        <v>9500000</v>
      </c>
      <c r="AW233" s="58"/>
      <c r="AX233" s="25">
        <v>9500000</v>
      </c>
      <c r="AY233" s="58"/>
      <c r="AZ233" s="15">
        <v>18999999</v>
      </c>
      <c r="BA233" s="59"/>
      <c r="BB233" s="17"/>
      <c r="BC233" s="18">
        <f t="shared" ref="BC233:BD233" si="227">AC233+AE233+AG233+AI233+AK233+AM233+AO233+AQ233+AS233+AU233+AW233+AY233+BA233</f>
        <v>81066666</v>
      </c>
      <c r="BD233" s="18">
        <f t="shared" si="227"/>
        <v>81066666</v>
      </c>
      <c r="BE233" s="20">
        <f t="shared" si="1"/>
        <v>0</v>
      </c>
      <c r="BF233" s="20">
        <f t="shared" si="2"/>
        <v>0</v>
      </c>
      <c r="BG233" s="20">
        <f t="shared" si="3"/>
        <v>0</v>
      </c>
    </row>
    <row r="234" spans="1:59" ht="14.25" customHeight="1">
      <c r="A234" s="149" t="s">
        <v>59</v>
      </c>
      <c r="B234" s="149" t="s">
        <v>523</v>
      </c>
      <c r="C234" s="151" t="s">
        <v>524</v>
      </c>
      <c r="D234" s="166" t="s">
        <v>62</v>
      </c>
      <c r="E234" s="151">
        <v>46</v>
      </c>
      <c r="F234" s="149" t="s">
        <v>673</v>
      </c>
      <c r="G234" s="149" t="s">
        <v>657</v>
      </c>
      <c r="H234" s="149" t="s">
        <v>527</v>
      </c>
      <c r="I234" s="149" t="s">
        <v>528</v>
      </c>
      <c r="J234" s="173">
        <v>81111801</v>
      </c>
      <c r="K234" s="149" t="s">
        <v>529</v>
      </c>
      <c r="L234" s="149" t="s">
        <v>145</v>
      </c>
      <c r="M234" s="149" t="s">
        <v>674</v>
      </c>
      <c r="N234" s="149" t="s">
        <v>180</v>
      </c>
      <c r="O234" s="149" t="s">
        <v>180</v>
      </c>
      <c r="P234" s="149" t="s">
        <v>226</v>
      </c>
      <c r="Q234" s="149">
        <v>12</v>
      </c>
      <c r="R234" s="149" t="s">
        <v>72</v>
      </c>
      <c r="S234" s="147" t="s">
        <v>156</v>
      </c>
      <c r="T234" s="149" t="s">
        <v>74</v>
      </c>
      <c r="U234" s="175">
        <v>20693526</v>
      </c>
      <c r="V234" s="175">
        <v>20693526</v>
      </c>
      <c r="W234" s="149" t="s">
        <v>75</v>
      </c>
      <c r="X234" s="149" t="s">
        <v>67</v>
      </c>
      <c r="Y234" s="149" t="s">
        <v>531</v>
      </c>
      <c r="Z234" s="149" t="s">
        <v>532</v>
      </c>
      <c r="AA234" s="149">
        <v>6012220601</v>
      </c>
      <c r="AB234" s="172" t="s">
        <v>533</v>
      </c>
      <c r="AC234" s="35"/>
      <c r="AD234" s="69"/>
      <c r="AE234" s="35"/>
      <c r="AF234" s="69"/>
      <c r="AG234" s="35"/>
      <c r="AH234" s="69"/>
      <c r="AI234" s="35"/>
      <c r="AJ234" s="35"/>
      <c r="AK234" s="35"/>
      <c r="AL234" s="35"/>
      <c r="AM234" s="35"/>
      <c r="AN234" s="35"/>
      <c r="AO234" s="35"/>
      <c r="AP234" s="35"/>
      <c r="AQ234" s="35"/>
      <c r="AR234" s="35"/>
      <c r="AS234" s="35"/>
      <c r="AT234" s="35"/>
      <c r="AU234" s="58"/>
      <c r="AV234" s="25"/>
      <c r="AW234" s="58">
        <v>20693526</v>
      </c>
      <c r="AX234" s="25"/>
      <c r="AY234" s="58"/>
      <c r="AZ234" s="15">
        <v>20693526</v>
      </c>
      <c r="BA234" s="59"/>
      <c r="BB234" s="17"/>
      <c r="BC234" s="18">
        <f t="shared" ref="BC234:BD234" si="228">AC234+AE234+AG234+AI234+AK234+AM234+AO234+AQ234+AS234+AU234+AW234+AY234+BA234</f>
        <v>20693526</v>
      </c>
      <c r="BD234" s="18">
        <f t="shared" si="228"/>
        <v>20693526</v>
      </c>
      <c r="BE234" s="20">
        <f t="shared" si="1"/>
        <v>0</v>
      </c>
      <c r="BF234" s="20">
        <f t="shared" si="2"/>
        <v>0</v>
      </c>
      <c r="BG234" s="20">
        <f t="shared" si="3"/>
        <v>0</v>
      </c>
    </row>
    <row r="235" spans="1:59" ht="14.25" customHeight="1">
      <c r="A235" s="149" t="s">
        <v>59</v>
      </c>
      <c r="B235" s="149" t="s">
        <v>523</v>
      </c>
      <c r="C235" s="151" t="s">
        <v>524</v>
      </c>
      <c r="D235" s="166" t="s">
        <v>62</v>
      </c>
      <c r="E235" s="151">
        <v>46</v>
      </c>
      <c r="F235" s="149" t="s">
        <v>675</v>
      </c>
      <c r="G235" s="149" t="s">
        <v>583</v>
      </c>
      <c r="H235" s="149" t="s">
        <v>584</v>
      </c>
      <c r="I235" s="149" t="s">
        <v>589</v>
      </c>
      <c r="J235" s="173">
        <v>81111801</v>
      </c>
      <c r="K235" s="149" t="s">
        <v>586</v>
      </c>
      <c r="L235" s="149" t="s">
        <v>145</v>
      </c>
      <c r="M235" s="149" t="s">
        <v>676</v>
      </c>
      <c r="N235" s="149" t="s">
        <v>180</v>
      </c>
      <c r="O235" s="149" t="s">
        <v>180</v>
      </c>
      <c r="P235" s="149" t="s">
        <v>226</v>
      </c>
      <c r="Q235" s="149">
        <v>12</v>
      </c>
      <c r="R235" s="149" t="s">
        <v>72</v>
      </c>
      <c r="S235" s="147" t="s">
        <v>156</v>
      </c>
      <c r="T235" s="149" t="s">
        <v>74</v>
      </c>
      <c r="U235" s="175">
        <v>3941700</v>
      </c>
      <c r="V235" s="175">
        <v>3941700</v>
      </c>
      <c r="W235" s="149" t="s">
        <v>75</v>
      </c>
      <c r="X235" s="149" t="s">
        <v>67</v>
      </c>
      <c r="Y235" s="149" t="s">
        <v>531</v>
      </c>
      <c r="Z235" s="149" t="s">
        <v>532</v>
      </c>
      <c r="AA235" s="149">
        <v>6012220601</v>
      </c>
      <c r="AB235" s="172" t="s">
        <v>533</v>
      </c>
      <c r="AC235" s="35"/>
      <c r="AD235" s="69"/>
      <c r="AE235" s="35"/>
      <c r="AF235" s="69"/>
      <c r="AG235" s="35"/>
      <c r="AH235" s="69"/>
      <c r="AI235" s="35"/>
      <c r="AJ235" s="35"/>
      <c r="AK235" s="35"/>
      <c r="AL235" s="35"/>
      <c r="AM235" s="35"/>
      <c r="AN235" s="35"/>
      <c r="AO235" s="35"/>
      <c r="AP235" s="35"/>
      <c r="AQ235" s="35"/>
      <c r="AR235" s="35"/>
      <c r="AS235" s="35"/>
      <c r="AT235" s="35"/>
      <c r="AU235" s="32"/>
      <c r="AV235" s="25"/>
      <c r="AW235" s="32">
        <v>3941700</v>
      </c>
      <c r="AX235" s="28">
        <v>3941700</v>
      </c>
      <c r="AY235" s="58"/>
      <c r="AZ235" s="15"/>
      <c r="BA235" s="59"/>
      <c r="BB235" s="17"/>
      <c r="BC235" s="18">
        <f t="shared" ref="BC235:BD235" si="229">AC235+AE235+AG235+AI235+AK235+AM235+AO235+AQ235+AS235+AU235+AW235+AY235+BA235</f>
        <v>3941700</v>
      </c>
      <c r="BD235" s="18">
        <f t="shared" si="229"/>
        <v>3941700</v>
      </c>
      <c r="BE235" s="20">
        <f t="shared" si="1"/>
        <v>0</v>
      </c>
      <c r="BF235" s="20">
        <f t="shared" si="2"/>
        <v>0</v>
      </c>
      <c r="BG235" s="20">
        <f t="shared" si="3"/>
        <v>0</v>
      </c>
    </row>
    <row r="236" spans="1:59" ht="14.25" customHeight="1">
      <c r="A236" s="149" t="s">
        <v>59</v>
      </c>
      <c r="B236" s="149" t="s">
        <v>523</v>
      </c>
      <c r="C236" s="151" t="s">
        <v>524</v>
      </c>
      <c r="D236" s="166" t="s">
        <v>62</v>
      </c>
      <c r="E236" s="151">
        <v>42</v>
      </c>
      <c r="F236" s="149" t="s">
        <v>677</v>
      </c>
      <c r="G236" s="149" t="s">
        <v>657</v>
      </c>
      <c r="H236" s="149" t="s">
        <v>527</v>
      </c>
      <c r="I236" s="149" t="s">
        <v>528</v>
      </c>
      <c r="J236" s="173">
        <v>80111620</v>
      </c>
      <c r="K236" s="149" t="s">
        <v>529</v>
      </c>
      <c r="L236" s="149" t="s">
        <v>83</v>
      </c>
      <c r="M236" s="149" t="s">
        <v>678</v>
      </c>
      <c r="N236" s="149" t="s">
        <v>71</v>
      </c>
      <c r="O236" s="149" t="s">
        <v>180</v>
      </c>
      <c r="P236" s="165" t="s">
        <v>226</v>
      </c>
      <c r="Q236" s="149">
        <v>8</v>
      </c>
      <c r="R236" s="149" t="s">
        <v>72</v>
      </c>
      <c r="S236" s="147" t="s">
        <v>73</v>
      </c>
      <c r="T236" s="149" t="s">
        <v>74</v>
      </c>
      <c r="U236" s="191">
        <v>426834</v>
      </c>
      <c r="V236" s="191">
        <v>426834</v>
      </c>
      <c r="W236" s="149" t="s">
        <v>75</v>
      </c>
      <c r="X236" s="149" t="s">
        <v>67</v>
      </c>
      <c r="Y236" s="149" t="s">
        <v>531</v>
      </c>
      <c r="Z236" s="149" t="s">
        <v>532</v>
      </c>
      <c r="AA236" s="149">
        <v>6012220601</v>
      </c>
      <c r="AB236" s="172" t="s">
        <v>533</v>
      </c>
      <c r="AC236" s="35"/>
      <c r="AD236" s="69"/>
      <c r="AE236" s="35"/>
      <c r="AF236" s="69"/>
      <c r="AG236" s="35"/>
      <c r="AH236" s="69"/>
      <c r="AI236" s="35"/>
      <c r="AJ236" s="35"/>
      <c r="AK236" s="35"/>
      <c r="AL236" s="35"/>
      <c r="AM236" s="35"/>
      <c r="AN236" s="35"/>
      <c r="AO236" s="35"/>
      <c r="AP236" s="35"/>
      <c r="AQ236" s="35"/>
      <c r="AR236" s="35"/>
      <c r="AS236" s="35"/>
      <c r="AT236" s="35"/>
      <c r="AU236" s="58"/>
      <c r="AV236" s="25"/>
      <c r="AW236" s="58"/>
      <c r="AX236" s="28"/>
      <c r="AY236" s="58"/>
      <c r="AZ236" s="15"/>
      <c r="BA236" s="58">
        <v>426834</v>
      </c>
      <c r="BB236" s="28">
        <v>426834</v>
      </c>
      <c r="BC236" s="18">
        <f t="shared" ref="BC236:BD236" si="230">AC236+AE236+AG236+AI236+AK236+AM236+AO236+AQ236+AS236+AU236+AW236+AY236+BA236</f>
        <v>426834</v>
      </c>
      <c r="BD236" s="18">
        <f t="shared" si="230"/>
        <v>426834</v>
      </c>
      <c r="BE236" s="20">
        <f t="shared" si="1"/>
        <v>0</v>
      </c>
      <c r="BF236" s="20">
        <f t="shared" si="2"/>
        <v>0</v>
      </c>
      <c r="BG236" s="20">
        <f t="shared" si="3"/>
        <v>0</v>
      </c>
    </row>
    <row r="237" spans="1:59" ht="14.25" customHeight="1">
      <c r="A237" s="149" t="s">
        <v>59</v>
      </c>
      <c r="B237" s="149" t="s">
        <v>523</v>
      </c>
      <c r="C237" s="151" t="s">
        <v>524</v>
      </c>
      <c r="D237" s="166" t="s">
        <v>62</v>
      </c>
      <c r="E237" s="151">
        <v>42</v>
      </c>
      <c r="F237" s="149" t="s">
        <v>679</v>
      </c>
      <c r="G237" s="149" t="s">
        <v>657</v>
      </c>
      <c r="H237" s="149" t="s">
        <v>527</v>
      </c>
      <c r="I237" s="149" t="s">
        <v>528</v>
      </c>
      <c r="J237" s="173">
        <v>80111620</v>
      </c>
      <c r="K237" s="149" t="s">
        <v>529</v>
      </c>
      <c r="L237" s="149" t="s">
        <v>83</v>
      </c>
      <c r="M237" s="149" t="s">
        <v>680</v>
      </c>
      <c r="N237" s="149" t="s">
        <v>71</v>
      </c>
      <c r="O237" s="149" t="s">
        <v>71</v>
      </c>
      <c r="P237" s="165" t="s">
        <v>180</v>
      </c>
      <c r="Q237" s="149">
        <v>3</v>
      </c>
      <c r="R237" s="149" t="s">
        <v>72</v>
      </c>
      <c r="S237" s="147" t="s">
        <v>73</v>
      </c>
      <c r="T237" s="149" t="s">
        <v>74</v>
      </c>
      <c r="U237" s="175">
        <v>29862638</v>
      </c>
      <c r="V237" s="175">
        <v>29862638</v>
      </c>
      <c r="W237" s="149" t="s">
        <v>75</v>
      </c>
      <c r="X237" s="149" t="s">
        <v>67</v>
      </c>
      <c r="Y237" s="149" t="s">
        <v>531</v>
      </c>
      <c r="Z237" s="149" t="s">
        <v>532</v>
      </c>
      <c r="AA237" s="149">
        <v>6012220601</v>
      </c>
      <c r="AB237" s="172" t="s">
        <v>533</v>
      </c>
      <c r="AC237" s="35"/>
      <c r="AD237" s="69"/>
      <c r="AE237" s="35"/>
      <c r="AF237" s="69"/>
      <c r="AG237" s="35"/>
      <c r="AH237" s="69"/>
      <c r="AI237" s="35"/>
      <c r="AJ237" s="35"/>
      <c r="AK237" s="35"/>
      <c r="AL237" s="35"/>
      <c r="AM237" s="35"/>
      <c r="AN237" s="35"/>
      <c r="AO237" s="35"/>
      <c r="AP237" s="35"/>
      <c r="AQ237" s="35"/>
      <c r="AR237" s="35"/>
      <c r="AS237" s="35"/>
      <c r="AT237" s="35"/>
      <c r="AU237" s="68"/>
      <c r="AV237" s="25"/>
      <c r="AW237" s="73">
        <v>29862638</v>
      </c>
      <c r="AX237" s="25">
        <v>7465659.5</v>
      </c>
      <c r="AY237" s="58"/>
      <c r="AZ237" s="15">
        <f>7465659.5*3</f>
        <v>22396978.5</v>
      </c>
      <c r="BA237" s="59"/>
      <c r="BB237" s="17"/>
      <c r="BC237" s="18">
        <f t="shared" ref="BC237:BD237" si="231">AC237+AE237+AG237+AI237+AK237+AM237+AO237+AQ237+AS237+AU237+AW237+AY237+BA237</f>
        <v>29862638</v>
      </c>
      <c r="BD237" s="18">
        <f t="shared" si="231"/>
        <v>29862638</v>
      </c>
      <c r="BE237" s="20">
        <f t="shared" si="1"/>
        <v>0</v>
      </c>
      <c r="BF237" s="20">
        <f t="shared" si="2"/>
        <v>0</v>
      </c>
      <c r="BG237" s="20">
        <f t="shared" si="3"/>
        <v>0</v>
      </c>
    </row>
    <row r="238" spans="1:59" ht="14.25" customHeight="1">
      <c r="A238" s="149" t="s">
        <v>59</v>
      </c>
      <c r="B238" s="149" t="s">
        <v>523</v>
      </c>
      <c r="C238" s="151" t="s">
        <v>524</v>
      </c>
      <c r="D238" s="166" t="s">
        <v>62</v>
      </c>
      <c r="E238" s="151">
        <v>20</v>
      </c>
      <c r="F238" s="149" t="s">
        <v>681</v>
      </c>
      <c r="G238" s="149" t="s">
        <v>657</v>
      </c>
      <c r="H238" s="149" t="s">
        <v>527</v>
      </c>
      <c r="I238" s="149" t="s">
        <v>528</v>
      </c>
      <c r="J238" s="173" t="s">
        <v>682</v>
      </c>
      <c r="K238" s="149" t="s">
        <v>529</v>
      </c>
      <c r="L238" s="149" t="s">
        <v>131</v>
      </c>
      <c r="M238" s="149" t="s">
        <v>683</v>
      </c>
      <c r="N238" s="149" t="s">
        <v>99</v>
      </c>
      <c r="O238" s="149" t="s">
        <v>99</v>
      </c>
      <c r="P238" s="165" t="s">
        <v>99</v>
      </c>
      <c r="Q238" s="149">
        <v>8</v>
      </c>
      <c r="R238" s="149" t="s">
        <v>72</v>
      </c>
      <c r="S238" s="147" t="s">
        <v>156</v>
      </c>
      <c r="T238" s="149" t="s">
        <v>74</v>
      </c>
      <c r="U238" s="175">
        <v>45994500</v>
      </c>
      <c r="V238" s="175">
        <v>45994500</v>
      </c>
      <c r="W238" s="149" t="s">
        <v>75</v>
      </c>
      <c r="X238" s="149" t="s">
        <v>67</v>
      </c>
      <c r="Y238" s="149" t="s">
        <v>531</v>
      </c>
      <c r="Z238" s="149" t="s">
        <v>532</v>
      </c>
      <c r="AA238" s="149">
        <v>6012220601</v>
      </c>
      <c r="AB238" s="172" t="s">
        <v>533</v>
      </c>
      <c r="AC238" s="35"/>
      <c r="AD238" s="69"/>
      <c r="AE238" s="35"/>
      <c r="AF238" s="69"/>
      <c r="AG238" s="35"/>
      <c r="AH238" s="69"/>
      <c r="AI238" s="35">
        <v>45994500</v>
      </c>
      <c r="AJ238" s="35"/>
      <c r="AK238" s="35"/>
      <c r="AL238" s="35"/>
      <c r="AM238" s="35"/>
      <c r="AN238" s="35"/>
      <c r="AO238" s="35"/>
      <c r="AP238" s="35"/>
      <c r="AQ238" s="35"/>
      <c r="AR238" s="35">
        <v>5041200</v>
      </c>
      <c r="AS238" s="35"/>
      <c r="AT238" s="35"/>
      <c r="AU238" s="58"/>
      <c r="AV238" s="25">
        <v>6250000</v>
      </c>
      <c r="AW238" s="58"/>
      <c r="AX238" s="25">
        <v>6250000</v>
      </c>
      <c r="AY238" s="58"/>
      <c r="AZ238" s="15">
        <f>8494500+13708800+6250000</f>
        <v>28453300</v>
      </c>
      <c r="BA238" s="59"/>
      <c r="BB238" s="17"/>
      <c r="BC238" s="18">
        <f t="shared" ref="BC238:BD238" si="232">AC238+AE238+AG238+AI238+AK238+AM238+AO238+AQ238+AS238+AU238+AW238+AY238+BA238</f>
        <v>45994500</v>
      </c>
      <c r="BD238" s="18">
        <f t="shared" si="232"/>
        <v>45994500</v>
      </c>
      <c r="BE238" s="20">
        <f t="shared" si="1"/>
        <v>0</v>
      </c>
      <c r="BF238" s="20">
        <f t="shared" si="2"/>
        <v>0</v>
      </c>
      <c r="BG238" s="20">
        <f t="shared" si="3"/>
        <v>0</v>
      </c>
    </row>
    <row r="239" spans="1:59" ht="14.25" customHeight="1">
      <c r="A239" s="149" t="s">
        <v>59</v>
      </c>
      <c r="B239" s="149" t="s">
        <v>523</v>
      </c>
      <c r="C239" s="151" t="s">
        <v>524</v>
      </c>
      <c r="D239" s="166" t="s">
        <v>62</v>
      </c>
      <c r="E239" s="151">
        <v>20</v>
      </c>
      <c r="F239" s="149" t="s">
        <v>684</v>
      </c>
      <c r="G239" s="149" t="s">
        <v>583</v>
      </c>
      <c r="H239" s="149" t="s">
        <v>584</v>
      </c>
      <c r="I239" s="149" t="s">
        <v>589</v>
      </c>
      <c r="J239" s="173" t="s">
        <v>682</v>
      </c>
      <c r="K239" s="149" t="s">
        <v>586</v>
      </c>
      <c r="L239" s="149" t="s">
        <v>131</v>
      </c>
      <c r="M239" s="149" t="s">
        <v>685</v>
      </c>
      <c r="N239" s="149" t="s">
        <v>99</v>
      </c>
      <c r="O239" s="149" t="s">
        <v>99</v>
      </c>
      <c r="P239" s="165" t="s">
        <v>127</v>
      </c>
      <c r="Q239" s="149">
        <v>8</v>
      </c>
      <c r="R239" s="149" t="s">
        <v>72</v>
      </c>
      <c r="S239" s="147" t="s">
        <v>156</v>
      </c>
      <c r="T239" s="149" t="s">
        <v>74</v>
      </c>
      <c r="U239" s="175">
        <v>4005500</v>
      </c>
      <c r="V239" s="175">
        <v>4005500</v>
      </c>
      <c r="W239" s="149" t="s">
        <v>75</v>
      </c>
      <c r="X239" s="149" t="s">
        <v>67</v>
      </c>
      <c r="Y239" s="149" t="s">
        <v>531</v>
      </c>
      <c r="Z239" s="149" t="s">
        <v>532</v>
      </c>
      <c r="AA239" s="149">
        <v>6012220601</v>
      </c>
      <c r="AB239" s="172" t="s">
        <v>533</v>
      </c>
      <c r="AC239" s="35"/>
      <c r="AD239" s="69"/>
      <c r="AE239" s="35"/>
      <c r="AF239" s="69"/>
      <c r="AG239" s="35"/>
      <c r="AH239" s="69"/>
      <c r="AI239" s="35">
        <v>4005500</v>
      </c>
      <c r="AJ239" s="35"/>
      <c r="AK239" s="35"/>
      <c r="AL239" s="35"/>
      <c r="AM239" s="35"/>
      <c r="AN239" s="35"/>
      <c r="AO239" s="35"/>
      <c r="AP239" s="35"/>
      <c r="AQ239" s="35"/>
      <c r="AR239" s="35">
        <v>3895100</v>
      </c>
      <c r="AS239" s="35"/>
      <c r="AT239" s="35"/>
      <c r="AU239" s="58"/>
      <c r="AV239" s="25"/>
      <c r="AW239" s="58"/>
      <c r="AX239" s="25"/>
      <c r="AY239" s="58"/>
      <c r="AZ239" s="15">
        <v>110400</v>
      </c>
      <c r="BA239" s="59"/>
      <c r="BB239" s="17"/>
      <c r="BC239" s="18">
        <f t="shared" ref="BC239:BD239" si="233">AC239+AE239+AG239+AI239+AK239+AM239+AO239+AQ239+AS239+AU239+AW239+AY239+BA239</f>
        <v>4005500</v>
      </c>
      <c r="BD239" s="18">
        <f t="shared" si="233"/>
        <v>4005500</v>
      </c>
      <c r="BE239" s="20">
        <f t="shared" si="1"/>
        <v>0</v>
      </c>
      <c r="BF239" s="20">
        <f t="shared" si="2"/>
        <v>0</v>
      </c>
      <c r="BG239" s="20">
        <f t="shared" si="3"/>
        <v>0</v>
      </c>
    </row>
    <row r="240" spans="1:59" ht="14.25" customHeight="1">
      <c r="A240" s="149" t="s">
        <v>59</v>
      </c>
      <c r="B240" s="149" t="s">
        <v>523</v>
      </c>
      <c r="C240" s="151" t="s">
        <v>524</v>
      </c>
      <c r="D240" s="166" t="s">
        <v>62</v>
      </c>
      <c r="E240" s="151">
        <v>37</v>
      </c>
      <c r="F240" s="149" t="s">
        <v>686</v>
      </c>
      <c r="G240" s="147" t="s">
        <v>526</v>
      </c>
      <c r="H240" s="149" t="s">
        <v>527</v>
      </c>
      <c r="I240" s="149" t="s">
        <v>528</v>
      </c>
      <c r="J240" s="173">
        <v>80111620</v>
      </c>
      <c r="K240" s="149" t="s">
        <v>529</v>
      </c>
      <c r="L240" s="149" t="s">
        <v>83</v>
      </c>
      <c r="M240" s="149" t="s">
        <v>687</v>
      </c>
      <c r="N240" s="149" t="s">
        <v>128</v>
      </c>
      <c r="O240" s="149" t="s">
        <v>128</v>
      </c>
      <c r="P240" s="165" t="s">
        <v>128</v>
      </c>
      <c r="Q240" s="149">
        <v>6</v>
      </c>
      <c r="R240" s="149" t="s">
        <v>72</v>
      </c>
      <c r="S240" s="147" t="s">
        <v>73</v>
      </c>
      <c r="T240" s="149" t="s">
        <v>74</v>
      </c>
      <c r="U240" s="175">
        <v>1144453</v>
      </c>
      <c r="V240" s="175">
        <v>1144453</v>
      </c>
      <c r="W240" s="149" t="s">
        <v>75</v>
      </c>
      <c r="X240" s="149" t="s">
        <v>67</v>
      </c>
      <c r="Y240" s="149" t="s">
        <v>688</v>
      </c>
      <c r="Z240" s="149" t="s">
        <v>689</v>
      </c>
      <c r="AA240" s="149">
        <v>6012220601</v>
      </c>
      <c r="AB240" s="172" t="s">
        <v>690</v>
      </c>
      <c r="AC240" s="35"/>
      <c r="AD240" s="69"/>
      <c r="AE240" s="35"/>
      <c r="AF240" s="69"/>
      <c r="AG240" s="35"/>
      <c r="AH240" s="69"/>
      <c r="AI240" s="35"/>
      <c r="AJ240" s="35"/>
      <c r="AK240" s="35">
        <v>1144453</v>
      </c>
      <c r="AL240" s="35"/>
      <c r="AM240" s="35"/>
      <c r="AN240" s="35"/>
      <c r="AO240" s="35"/>
      <c r="AP240" s="35"/>
      <c r="AQ240" s="35"/>
      <c r="AR240" s="35"/>
      <c r="AS240" s="35"/>
      <c r="AT240" s="35"/>
      <c r="AU240" s="58"/>
      <c r="AV240" s="25"/>
      <c r="AW240" s="58"/>
      <c r="AX240" s="25"/>
      <c r="AY240" s="58"/>
      <c r="AZ240" s="15">
        <v>1144453</v>
      </c>
      <c r="BA240" s="59"/>
      <c r="BB240" s="17"/>
      <c r="BC240" s="18">
        <f t="shared" ref="BC240:BD240" si="234">AC240+AE240+AG240+AI240+AK240+AM240+AO240+AQ240+AS240+AU240+AW240+AY240+BA240</f>
        <v>1144453</v>
      </c>
      <c r="BD240" s="18">
        <f t="shared" si="234"/>
        <v>1144453</v>
      </c>
      <c r="BE240" s="20">
        <f t="shared" si="1"/>
        <v>0</v>
      </c>
      <c r="BF240" s="20">
        <f t="shared" si="2"/>
        <v>0</v>
      </c>
      <c r="BG240" s="20">
        <f t="shared" si="3"/>
        <v>0</v>
      </c>
    </row>
    <row r="241" spans="1:59" ht="14.25" customHeight="1">
      <c r="A241" s="149" t="s">
        <v>59</v>
      </c>
      <c r="B241" s="149" t="s">
        <v>523</v>
      </c>
      <c r="C241" s="151" t="s">
        <v>524</v>
      </c>
      <c r="D241" s="166" t="s">
        <v>62</v>
      </c>
      <c r="E241" s="151">
        <v>33</v>
      </c>
      <c r="F241" s="149" t="s">
        <v>691</v>
      </c>
      <c r="G241" s="149" t="s">
        <v>657</v>
      </c>
      <c r="H241" s="149" t="s">
        <v>527</v>
      </c>
      <c r="I241" s="149" t="s">
        <v>528</v>
      </c>
      <c r="J241" s="173">
        <v>55101519</v>
      </c>
      <c r="K241" s="149" t="s">
        <v>529</v>
      </c>
      <c r="L241" s="149" t="s">
        <v>131</v>
      </c>
      <c r="M241" s="165" t="s">
        <v>692</v>
      </c>
      <c r="N241" s="149" t="s">
        <v>100</v>
      </c>
      <c r="O241" s="149" t="s">
        <v>100</v>
      </c>
      <c r="P241" s="165" t="s">
        <v>100</v>
      </c>
      <c r="Q241" s="149">
        <v>5</v>
      </c>
      <c r="R241" s="149" t="s">
        <v>72</v>
      </c>
      <c r="S241" s="147" t="s">
        <v>156</v>
      </c>
      <c r="T241" s="149" t="s">
        <v>74</v>
      </c>
      <c r="U241" s="175">
        <v>5000000</v>
      </c>
      <c r="V241" s="175">
        <v>5000000</v>
      </c>
      <c r="W241" s="149" t="s">
        <v>75</v>
      </c>
      <c r="X241" s="149" t="s">
        <v>67</v>
      </c>
      <c r="Y241" s="149" t="s">
        <v>688</v>
      </c>
      <c r="Z241" s="149" t="s">
        <v>689</v>
      </c>
      <c r="AA241" s="149">
        <v>6012220601</v>
      </c>
      <c r="AB241" s="172" t="s">
        <v>690</v>
      </c>
      <c r="AC241" s="35"/>
      <c r="AD241" s="69"/>
      <c r="AE241" s="35"/>
      <c r="AF241" s="69"/>
      <c r="AG241" s="35"/>
      <c r="AH241" s="69"/>
      <c r="AI241" s="35"/>
      <c r="AJ241" s="35"/>
      <c r="AK241" s="35"/>
      <c r="AL241" s="35"/>
      <c r="AM241" s="35"/>
      <c r="AN241" s="35"/>
      <c r="AO241" s="35"/>
      <c r="AP241" s="35"/>
      <c r="AQ241" s="35">
        <v>5000000</v>
      </c>
      <c r="AR241" s="35"/>
      <c r="AS241" s="35"/>
      <c r="AT241" s="35"/>
      <c r="AU241" s="58"/>
      <c r="AV241" s="25">
        <v>1000000</v>
      </c>
      <c r="AW241" s="58"/>
      <c r="AX241" s="25">
        <v>1000000</v>
      </c>
      <c r="AY241" s="58"/>
      <c r="AZ241" s="15">
        <v>3000000</v>
      </c>
      <c r="BA241" s="59"/>
      <c r="BB241" s="17"/>
      <c r="BC241" s="18">
        <f t="shared" ref="BC241:BD241" si="235">AC241+AE241+AG241+AI241+AK241+AM241+AO241+AQ241+AS241+AU241+AW241+AY241+BA241</f>
        <v>5000000</v>
      </c>
      <c r="BD241" s="18">
        <f t="shared" si="235"/>
        <v>5000000</v>
      </c>
      <c r="BE241" s="20">
        <f t="shared" si="1"/>
        <v>0</v>
      </c>
      <c r="BF241" s="20">
        <f t="shared" si="2"/>
        <v>0</v>
      </c>
      <c r="BG241" s="20">
        <f t="shared" si="3"/>
        <v>0</v>
      </c>
    </row>
    <row r="242" spans="1:59" ht="30">
      <c r="A242" s="149" t="s">
        <v>59</v>
      </c>
      <c r="B242" s="149" t="s">
        <v>523</v>
      </c>
      <c r="C242" s="151" t="s">
        <v>524</v>
      </c>
      <c r="D242" s="166" t="s">
        <v>62</v>
      </c>
      <c r="E242" s="151">
        <v>37</v>
      </c>
      <c r="F242" s="149" t="s">
        <v>693</v>
      </c>
      <c r="G242" s="149" t="s">
        <v>583</v>
      </c>
      <c r="H242" s="149" t="s">
        <v>584</v>
      </c>
      <c r="I242" s="149" t="s">
        <v>585</v>
      </c>
      <c r="J242" s="173">
        <v>80111620</v>
      </c>
      <c r="K242" s="149" t="s">
        <v>586</v>
      </c>
      <c r="L242" s="149" t="s">
        <v>83</v>
      </c>
      <c r="M242" s="165" t="s">
        <v>694</v>
      </c>
      <c r="N242" s="149" t="s">
        <v>71</v>
      </c>
      <c r="O242" s="149" t="s">
        <v>71</v>
      </c>
      <c r="P242" s="165" t="s">
        <v>71</v>
      </c>
      <c r="Q242" s="149">
        <v>5</v>
      </c>
      <c r="R242" s="149" t="s">
        <v>72</v>
      </c>
      <c r="S242" s="147" t="s">
        <v>73</v>
      </c>
      <c r="T242" s="149" t="s">
        <v>74</v>
      </c>
      <c r="U242" s="175">
        <v>6358400</v>
      </c>
      <c r="V242" s="175">
        <v>6358400</v>
      </c>
      <c r="W242" s="149" t="s">
        <v>75</v>
      </c>
      <c r="X242" s="149" t="s">
        <v>67</v>
      </c>
      <c r="Y242" s="149" t="s">
        <v>695</v>
      </c>
      <c r="Z242" s="149" t="s">
        <v>696</v>
      </c>
      <c r="AA242" s="149">
        <v>6012220601</v>
      </c>
      <c r="AB242" s="172" t="s">
        <v>697</v>
      </c>
      <c r="AC242" s="35"/>
      <c r="AD242" s="69"/>
      <c r="AE242" s="35"/>
      <c r="AF242" s="69"/>
      <c r="AG242" s="35"/>
      <c r="AH242" s="69"/>
      <c r="AI242" s="35"/>
      <c r="AJ242" s="35"/>
      <c r="AK242" s="35"/>
      <c r="AL242" s="35"/>
      <c r="AM242" s="35"/>
      <c r="AN242" s="35"/>
      <c r="AO242" s="35"/>
      <c r="AP242" s="35"/>
      <c r="AQ242" s="35"/>
      <c r="AR242" s="35"/>
      <c r="AS242" s="35">
        <v>291733</v>
      </c>
      <c r="AT242" s="35"/>
      <c r="AU242" s="58"/>
      <c r="AV242" s="28">
        <v>291733</v>
      </c>
      <c r="AW242" s="58"/>
      <c r="AX242" s="25"/>
      <c r="AY242" s="58"/>
      <c r="AZ242" s="15"/>
      <c r="BA242" s="60">
        <v>6066667</v>
      </c>
      <c r="BB242" s="33">
        <v>6066667</v>
      </c>
      <c r="BC242" s="18">
        <f t="shared" ref="BC242:BD242" si="236">AC242+AE242+AG242+AI242+AK242+AM242+AO242+AQ242+AS242+AU242+AW242+AY242+BA242</f>
        <v>6358400</v>
      </c>
      <c r="BD242" s="18">
        <f t="shared" si="236"/>
        <v>6358400</v>
      </c>
      <c r="BE242" s="20">
        <f t="shared" si="1"/>
        <v>0</v>
      </c>
      <c r="BF242" s="20">
        <f t="shared" si="2"/>
        <v>0</v>
      </c>
      <c r="BG242" s="20">
        <f t="shared" si="3"/>
        <v>0</v>
      </c>
    </row>
    <row r="243" spans="1:59" ht="14.25" customHeight="1">
      <c r="A243" s="149" t="s">
        <v>59</v>
      </c>
      <c r="B243" s="149" t="s">
        <v>523</v>
      </c>
      <c r="C243" s="151" t="s">
        <v>524</v>
      </c>
      <c r="D243" s="166" t="s">
        <v>62</v>
      </c>
      <c r="E243" s="151">
        <v>46</v>
      </c>
      <c r="F243" s="149" t="s">
        <v>698</v>
      </c>
      <c r="G243" s="149" t="s">
        <v>657</v>
      </c>
      <c r="H243" s="149" t="s">
        <v>527</v>
      </c>
      <c r="I243" s="149" t="s">
        <v>528</v>
      </c>
      <c r="J243" s="173">
        <v>80111620</v>
      </c>
      <c r="K243" s="149" t="s">
        <v>529</v>
      </c>
      <c r="L243" s="149" t="s">
        <v>83</v>
      </c>
      <c r="M243" s="165" t="s">
        <v>699</v>
      </c>
      <c r="N243" s="149" t="s">
        <v>71</v>
      </c>
      <c r="O243" s="149" t="s">
        <v>71</v>
      </c>
      <c r="P243" s="165" t="s">
        <v>71</v>
      </c>
      <c r="Q243" s="149">
        <v>5</v>
      </c>
      <c r="R243" s="149" t="s">
        <v>72</v>
      </c>
      <c r="S243" s="147" t="s">
        <v>73</v>
      </c>
      <c r="T243" s="149" t="s">
        <v>74</v>
      </c>
      <c r="U243" s="175">
        <v>2641600</v>
      </c>
      <c r="V243" s="175">
        <v>2641600</v>
      </c>
      <c r="W243" s="149" t="s">
        <v>75</v>
      </c>
      <c r="X243" s="149" t="s">
        <v>67</v>
      </c>
      <c r="Y243" s="149" t="s">
        <v>695</v>
      </c>
      <c r="Z243" s="149" t="s">
        <v>696</v>
      </c>
      <c r="AA243" s="149">
        <v>6012220601</v>
      </c>
      <c r="AB243" s="172" t="s">
        <v>697</v>
      </c>
      <c r="AC243" s="35"/>
      <c r="AD243" s="69"/>
      <c r="AE243" s="35"/>
      <c r="AF243" s="69"/>
      <c r="AG243" s="35"/>
      <c r="AH243" s="69"/>
      <c r="AI243" s="35"/>
      <c r="AJ243" s="35"/>
      <c r="AK243" s="35"/>
      <c r="AL243" s="35"/>
      <c r="AM243" s="35"/>
      <c r="AN243" s="35"/>
      <c r="AO243" s="35"/>
      <c r="AP243" s="35"/>
      <c r="AQ243" s="35"/>
      <c r="AR243" s="35"/>
      <c r="AS243" s="35">
        <v>2641600</v>
      </c>
      <c r="AT243" s="35"/>
      <c r="AU243" s="58"/>
      <c r="AV243" s="25">
        <v>660400</v>
      </c>
      <c r="AW243" s="58"/>
      <c r="AX243" s="25">
        <v>660400</v>
      </c>
      <c r="AY243" s="58"/>
      <c r="AZ243" s="15">
        <f>660400*2</f>
        <v>1320800</v>
      </c>
      <c r="BA243" s="59"/>
      <c r="BB243" s="17"/>
      <c r="BC243" s="18">
        <f t="shared" ref="BC243:BD243" si="237">AC243+AE243+AG243+AI243+AK243+AM243+AO243+AQ243+AS243+AU243+AW243+AY243+BA243</f>
        <v>2641600</v>
      </c>
      <c r="BD243" s="18">
        <f t="shared" si="237"/>
        <v>2641600</v>
      </c>
      <c r="BE243" s="20">
        <f t="shared" si="1"/>
        <v>0</v>
      </c>
      <c r="BF243" s="20">
        <f t="shared" si="2"/>
        <v>0</v>
      </c>
      <c r="BG243" s="20">
        <f t="shared" si="3"/>
        <v>0</v>
      </c>
    </row>
    <row r="244" spans="1:59" ht="14.25" customHeight="1">
      <c r="A244" s="149" t="s">
        <v>59</v>
      </c>
      <c r="B244" s="149" t="s">
        <v>523</v>
      </c>
      <c r="C244" s="151" t="s">
        <v>524</v>
      </c>
      <c r="D244" s="166" t="s">
        <v>62</v>
      </c>
      <c r="E244" s="151">
        <v>39</v>
      </c>
      <c r="F244" s="149" t="s">
        <v>700</v>
      </c>
      <c r="G244" s="149" t="s">
        <v>657</v>
      </c>
      <c r="H244" s="149" t="s">
        <v>527</v>
      </c>
      <c r="I244" s="149" t="s">
        <v>528</v>
      </c>
      <c r="J244" s="173">
        <v>81112501</v>
      </c>
      <c r="K244" s="149" t="s">
        <v>529</v>
      </c>
      <c r="L244" s="149" t="s">
        <v>145</v>
      </c>
      <c r="M244" s="165" t="s">
        <v>701</v>
      </c>
      <c r="N244" s="149" t="s">
        <v>142</v>
      </c>
      <c r="O244" s="149" t="s">
        <v>142</v>
      </c>
      <c r="P244" s="165" t="s">
        <v>142</v>
      </c>
      <c r="Q244" s="149">
        <v>3</v>
      </c>
      <c r="R244" s="149" t="s">
        <v>72</v>
      </c>
      <c r="S244" s="147" t="s">
        <v>156</v>
      </c>
      <c r="T244" s="149" t="s">
        <v>74</v>
      </c>
      <c r="U244" s="175">
        <v>180000000</v>
      </c>
      <c r="V244" s="175">
        <v>180000000</v>
      </c>
      <c r="W244" s="149" t="s">
        <v>75</v>
      </c>
      <c r="X244" s="149" t="s">
        <v>67</v>
      </c>
      <c r="Y244" s="149" t="s">
        <v>695</v>
      </c>
      <c r="Z244" s="149" t="s">
        <v>696</v>
      </c>
      <c r="AA244" s="149">
        <v>6012220601</v>
      </c>
      <c r="AB244" s="172" t="s">
        <v>697</v>
      </c>
      <c r="AC244" s="35"/>
      <c r="AD244" s="69"/>
      <c r="AE244" s="35"/>
      <c r="AF244" s="69"/>
      <c r="AG244" s="35"/>
      <c r="AH244" s="69"/>
      <c r="AI244" s="35"/>
      <c r="AJ244" s="35"/>
      <c r="AK244" s="35"/>
      <c r="AL244" s="35"/>
      <c r="AM244" s="35"/>
      <c r="AN244" s="35"/>
      <c r="AO244" s="35"/>
      <c r="AP244" s="35"/>
      <c r="AQ244" s="35"/>
      <c r="AR244" s="35"/>
      <c r="AS244" s="35">
        <v>180000000</v>
      </c>
      <c r="AT244" s="35"/>
      <c r="AU244" s="58"/>
      <c r="AV244" s="28">
        <v>60000000</v>
      </c>
      <c r="AW244" s="58"/>
      <c r="AX244" s="28">
        <v>60000000</v>
      </c>
      <c r="AY244" s="58"/>
      <c r="AZ244" s="28">
        <v>60000000</v>
      </c>
      <c r="BA244" s="59"/>
      <c r="BB244" s="17"/>
      <c r="BC244" s="18">
        <f t="shared" ref="BC244:BD244" si="238">AC244+AE244+AG244+AI244+AK244+AM244+AO244+AQ244+AS244+AU244+AW244+AY244+BA244</f>
        <v>180000000</v>
      </c>
      <c r="BD244" s="18">
        <f t="shared" si="238"/>
        <v>180000000</v>
      </c>
      <c r="BE244" s="20">
        <f t="shared" si="1"/>
        <v>0</v>
      </c>
      <c r="BF244" s="20">
        <f t="shared" si="2"/>
        <v>0</v>
      </c>
      <c r="BG244" s="20">
        <f t="shared" si="3"/>
        <v>0</v>
      </c>
    </row>
    <row r="245" spans="1:59" ht="14.25" customHeight="1">
      <c r="A245" s="149" t="s">
        <v>59</v>
      </c>
      <c r="B245" s="149" t="s">
        <v>523</v>
      </c>
      <c r="C245" s="151" t="s">
        <v>524</v>
      </c>
      <c r="D245" s="166" t="s">
        <v>62</v>
      </c>
      <c r="E245" s="151">
        <v>42</v>
      </c>
      <c r="F245" s="149" t="s">
        <v>702</v>
      </c>
      <c r="G245" s="149" t="s">
        <v>583</v>
      </c>
      <c r="H245" s="149" t="s">
        <v>584</v>
      </c>
      <c r="I245" s="149" t="s">
        <v>589</v>
      </c>
      <c r="J245" s="173">
        <v>81112501</v>
      </c>
      <c r="K245" s="149" t="s">
        <v>586</v>
      </c>
      <c r="L245" s="149" t="s">
        <v>145</v>
      </c>
      <c r="M245" s="165" t="s">
        <v>703</v>
      </c>
      <c r="N245" s="149" t="s">
        <v>71</v>
      </c>
      <c r="O245" s="149" t="s">
        <v>180</v>
      </c>
      <c r="P245" s="165" t="s">
        <v>226</v>
      </c>
      <c r="Q245" s="149">
        <v>12</v>
      </c>
      <c r="R245" s="149" t="s">
        <v>72</v>
      </c>
      <c r="S245" s="147" t="s">
        <v>156</v>
      </c>
      <c r="T245" s="149" t="s">
        <v>74</v>
      </c>
      <c r="U245" s="175">
        <v>7084417</v>
      </c>
      <c r="V245" s="175">
        <v>7084417</v>
      </c>
      <c r="W245" s="149" t="s">
        <v>75</v>
      </c>
      <c r="X245" s="149" t="s">
        <v>67</v>
      </c>
      <c r="Y245" s="149" t="s">
        <v>695</v>
      </c>
      <c r="Z245" s="149" t="s">
        <v>696</v>
      </c>
      <c r="AA245" s="149">
        <v>6012220601</v>
      </c>
      <c r="AB245" s="172" t="s">
        <v>697</v>
      </c>
      <c r="AC245" s="35"/>
      <c r="AD245" s="69"/>
      <c r="AE245" s="35"/>
      <c r="AF245" s="69"/>
      <c r="AG245" s="35"/>
      <c r="AH245" s="69"/>
      <c r="AI245" s="35"/>
      <c r="AJ245" s="35"/>
      <c r="AK245" s="35"/>
      <c r="AL245" s="35"/>
      <c r="AM245" s="35"/>
      <c r="AN245" s="35"/>
      <c r="AO245" s="35"/>
      <c r="AP245" s="35"/>
      <c r="AQ245" s="35"/>
      <c r="AR245" s="35"/>
      <c r="AS245" s="35"/>
      <c r="AT245" s="35"/>
      <c r="AU245" s="58"/>
      <c r="AV245" s="28"/>
      <c r="AW245" s="39">
        <v>7084417</v>
      </c>
      <c r="AX245" s="28"/>
      <c r="AY245" s="58"/>
      <c r="AZ245" s="27">
        <v>7084417</v>
      </c>
      <c r="BA245" s="59"/>
      <c r="BB245" s="17"/>
      <c r="BC245" s="18">
        <f t="shared" ref="BC245:BD245" si="239">AC245+AE245+AG245+AI245+AK245+AM245+AO245+AQ245+AS245+AU245+AW245+AY245+BA245</f>
        <v>7084417</v>
      </c>
      <c r="BD245" s="18">
        <f t="shared" si="239"/>
        <v>7084417</v>
      </c>
      <c r="BE245" s="20">
        <f t="shared" si="1"/>
        <v>0</v>
      </c>
      <c r="BF245" s="20">
        <f t="shared" si="2"/>
        <v>0</v>
      </c>
      <c r="BG245" s="20">
        <f t="shared" si="3"/>
        <v>0</v>
      </c>
    </row>
    <row r="246" spans="1:59" ht="20.25" customHeight="1">
      <c r="A246" s="149" t="s">
        <v>59</v>
      </c>
      <c r="B246" s="149" t="s">
        <v>523</v>
      </c>
      <c r="C246" s="151" t="s">
        <v>524</v>
      </c>
      <c r="D246" s="166" t="s">
        <v>62</v>
      </c>
      <c r="E246" s="151">
        <v>44</v>
      </c>
      <c r="F246" s="149" t="s">
        <v>704</v>
      </c>
      <c r="G246" s="149" t="s">
        <v>657</v>
      </c>
      <c r="H246" s="149" t="s">
        <v>527</v>
      </c>
      <c r="I246" s="149" t="s">
        <v>528</v>
      </c>
      <c r="J246" s="173">
        <v>80111620</v>
      </c>
      <c r="K246" s="149" t="s">
        <v>529</v>
      </c>
      <c r="L246" s="149" t="s">
        <v>83</v>
      </c>
      <c r="M246" s="165" t="s">
        <v>705</v>
      </c>
      <c r="N246" s="149" t="s">
        <v>71</v>
      </c>
      <c r="O246" s="149" t="s">
        <v>71</v>
      </c>
      <c r="P246" s="149" t="s">
        <v>71</v>
      </c>
      <c r="Q246" s="149">
        <v>3</v>
      </c>
      <c r="R246" s="149" t="s">
        <v>72</v>
      </c>
      <c r="S246" s="147" t="s">
        <v>156</v>
      </c>
      <c r="T246" s="149" t="s">
        <v>74</v>
      </c>
      <c r="U246" s="175">
        <v>19600000</v>
      </c>
      <c r="V246" s="175">
        <v>19600000</v>
      </c>
      <c r="W246" s="149" t="s">
        <v>75</v>
      </c>
      <c r="X246" s="149" t="s">
        <v>67</v>
      </c>
      <c r="Y246" s="149" t="s">
        <v>695</v>
      </c>
      <c r="Z246" s="149" t="s">
        <v>696</v>
      </c>
      <c r="AA246" s="149">
        <v>6012220601</v>
      </c>
      <c r="AB246" s="172" t="s">
        <v>697</v>
      </c>
      <c r="AC246" s="35"/>
      <c r="AD246" s="69"/>
      <c r="AE246" s="35"/>
      <c r="AF246" s="69"/>
      <c r="AG246" s="35"/>
      <c r="AH246" s="69"/>
      <c r="AI246" s="35"/>
      <c r="AJ246" s="35"/>
      <c r="AK246" s="35"/>
      <c r="AL246" s="35"/>
      <c r="AM246" s="35"/>
      <c r="AN246" s="35"/>
      <c r="AO246" s="35"/>
      <c r="AP246" s="35"/>
      <c r="AQ246" s="35"/>
      <c r="AR246" s="35"/>
      <c r="AS246" s="35"/>
      <c r="AT246" s="35"/>
      <c r="AU246" s="32">
        <v>19600000</v>
      </c>
      <c r="AV246" s="28"/>
      <c r="AW246" s="39"/>
      <c r="AX246" s="28">
        <v>6000000</v>
      </c>
      <c r="AY246" s="58"/>
      <c r="AZ246" s="27">
        <v>13600000</v>
      </c>
      <c r="BA246" s="59"/>
      <c r="BB246" s="17"/>
      <c r="BC246" s="18">
        <f t="shared" ref="BC246:BD246" si="240">AC246+AE246+AG246+AI246+AK246+AM246+AO246+AQ246+AS246+AU246+AW246+AY246+BA246</f>
        <v>19600000</v>
      </c>
      <c r="BD246" s="18">
        <f t="shared" si="240"/>
        <v>19600000</v>
      </c>
      <c r="BE246" s="20">
        <f t="shared" si="1"/>
        <v>0</v>
      </c>
      <c r="BF246" s="20">
        <f t="shared" si="2"/>
        <v>0</v>
      </c>
      <c r="BG246" s="20">
        <f t="shared" si="3"/>
        <v>0</v>
      </c>
    </row>
    <row r="247" spans="1:59" ht="24.75" customHeight="1">
      <c r="A247" s="149" t="s">
        <v>59</v>
      </c>
      <c r="B247" s="149" t="s">
        <v>523</v>
      </c>
      <c r="C247" s="151" t="s">
        <v>524</v>
      </c>
      <c r="D247" s="166" t="s">
        <v>62</v>
      </c>
      <c r="E247" s="151">
        <v>46</v>
      </c>
      <c r="F247" s="149" t="s">
        <v>706</v>
      </c>
      <c r="G247" s="149" t="s">
        <v>657</v>
      </c>
      <c r="H247" s="149" t="s">
        <v>527</v>
      </c>
      <c r="I247" s="149" t="s">
        <v>528</v>
      </c>
      <c r="J247" s="173">
        <v>81112003</v>
      </c>
      <c r="K247" s="149" t="s">
        <v>529</v>
      </c>
      <c r="L247" s="149" t="s">
        <v>145</v>
      </c>
      <c r="M247" s="165" t="s">
        <v>707</v>
      </c>
      <c r="N247" s="149" t="s">
        <v>71</v>
      </c>
      <c r="O247" s="149" t="s">
        <v>180</v>
      </c>
      <c r="P247" s="149" t="s">
        <v>180</v>
      </c>
      <c r="Q247" s="149">
        <v>12</v>
      </c>
      <c r="R247" s="149" t="s">
        <v>72</v>
      </c>
      <c r="S247" s="147" t="s">
        <v>143</v>
      </c>
      <c r="T247" s="149" t="s">
        <v>74</v>
      </c>
      <c r="U247" s="175">
        <v>10058411</v>
      </c>
      <c r="V247" s="175">
        <v>10058411</v>
      </c>
      <c r="W247" s="149" t="s">
        <v>75</v>
      </c>
      <c r="X247" s="149" t="s">
        <v>67</v>
      </c>
      <c r="Y247" s="149" t="s">
        <v>695</v>
      </c>
      <c r="Z247" s="149" t="s">
        <v>696</v>
      </c>
      <c r="AA247" s="149">
        <v>6012220601</v>
      </c>
      <c r="AB247" s="172" t="s">
        <v>697</v>
      </c>
      <c r="AC247" s="35"/>
      <c r="AD247" s="69"/>
      <c r="AE247" s="35"/>
      <c r="AF247" s="69"/>
      <c r="AG247" s="35"/>
      <c r="AH247" s="69"/>
      <c r="AI247" s="35"/>
      <c r="AJ247" s="35"/>
      <c r="AK247" s="35"/>
      <c r="AL247" s="35"/>
      <c r="AM247" s="35"/>
      <c r="AN247" s="35"/>
      <c r="AO247" s="35"/>
      <c r="AP247" s="35"/>
      <c r="AQ247" s="35"/>
      <c r="AR247" s="35"/>
      <c r="AS247" s="35"/>
      <c r="AT247" s="35"/>
      <c r="AU247" s="58">
        <v>10058411</v>
      </c>
      <c r="AV247" s="28"/>
      <c r="AW247" s="39"/>
      <c r="AX247" s="28"/>
      <c r="AY247" s="58"/>
      <c r="AZ247" s="27">
        <v>10058411</v>
      </c>
      <c r="BA247" s="59"/>
      <c r="BB247" s="17"/>
      <c r="BC247" s="18">
        <f t="shared" ref="BC247:BD247" si="241">AC247+AE247+AG247+AI247+AK247+AM247+AO247+AQ247+AS247+AU247+AW247+AY247+BA247</f>
        <v>10058411</v>
      </c>
      <c r="BD247" s="18">
        <f t="shared" si="241"/>
        <v>10058411</v>
      </c>
      <c r="BE247" s="20">
        <f t="shared" si="1"/>
        <v>0</v>
      </c>
      <c r="BF247" s="20">
        <f t="shared" si="2"/>
        <v>0</v>
      </c>
      <c r="BG247" s="20">
        <f t="shared" si="3"/>
        <v>0</v>
      </c>
    </row>
    <row r="248" spans="1:59" ht="14.25" customHeight="1">
      <c r="A248" s="149" t="s">
        <v>59</v>
      </c>
      <c r="B248" s="149" t="s">
        <v>523</v>
      </c>
      <c r="C248" s="151" t="s">
        <v>524</v>
      </c>
      <c r="D248" s="166" t="s">
        <v>62</v>
      </c>
      <c r="E248" s="151">
        <v>46</v>
      </c>
      <c r="F248" s="149" t="s">
        <v>708</v>
      </c>
      <c r="G248" s="149" t="s">
        <v>657</v>
      </c>
      <c r="H248" s="149" t="s">
        <v>527</v>
      </c>
      <c r="I248" s="149" t="s">
        <v>528</v>
      </c>
      <c r="J248" s="173">
        <v>81112210</v>
      </c>
      <c r="K248" s="149" t="s">
        <v>529</v>
      </c>
      <c r="L248" s="149" t="s">
        <v>145</v>
      </c>
      <c r="M248" s="165" t="s">
        <v>709</v>
      </c>
      <c r="N248" s="149" t="s">
        <v>71</v>
      </c>
      <c r="O248" s="149" t="s">
        <v>71</v>
      </c>
      <c r="P248" s="149" t="s">
        <v>180</v>
      </c>
      <c r="Q248" s="149">
        <v>8</v>
      </c>
      <c r="R248" s="149" t="s">
        <v>72</v>
      </c>
      <c r="S248" s="147" t="s">
        <v>156</v>
      </c>
      <c r="T248" s="149" t="s">
        <v>74</v>
      </c>
      <c r="U248" s="175">
        <v>10000000</v>
      </c>
      <c r="V248" s="175">
        <v>10000000</v>
      </c>
      <c r="W248" s="149" t="s">
        <v>75</v>
      </c>
      <c r="X248" s="149" t="s">
        <v>67</v>
      </c>
      <c r="Y248" s="149" t="s">
        <v>695</v>
      </c>
      <c r="Z248" s="149" t="s">
        <v>696</v>
      </c>
      <c r="AA248" s="149">
        <v>6012220601</v>
      </c>
      <c r="AB248" s="172" t="s">
        <v>697</v>
      </c>
      <c r="AC248" s="35"/>
      <c r="AD248" s="69"/>
      <c r="AE248" s="35"/>
      <c r="AF248" s="69"/>
      <c r="AG248" s="35"/>
      <c r="AH248" s="69"/>
      <c r="AI248" s="35"/>
      <c r="AJ248" s="35"/>
      <c r="AK248" s="35"/>
      <c r="AL248" s="35"/>
      <c r="AM248" s="35"/>
      <c r="AN248" s="35"/>
      <c r="AO248" s="35"/>
      <c r="AP248" s="35"/>
      <c r="AQ248" s="35"/>
      <c r="AR248" s="35"/>
      <c r="AS248" s="35"/>
      <c r="AT248" s="35"/>
      <c r="AU248" s="58">
        <v>10000000</v>
      </c>
      <c r="AV248" s="28"/>
      <c r="AW248" s="39"/>
      <c r="AX248" s="28"/>
      <c r="AY248" s="58"/>
      <c r="AZ248" s="27">
        <v>10000000</v>
      </c>
      <c r="BA248" s="59"/>
      <c r="BB248" s="17"/>
      <c r="BC248" s="18">
        <f t="shared" ref="BC248:BD248" si="242">AC248+AE248+AG248+AI248+AK248+AM248+AO248+AQ248+AS248+AU248+AW248+AY248+BA248</f>
        <v>10000000</v>
      </c>
      <c r="BD248" s="18">
        <f t="shared" si="242"/>
        <v>10000000</v>
      </c>
      <c r="BE248" s="20">
        <f t="shared" si="1"/>
        <v>0</v>
      </c>
      <c r="BF248" s="20">
        <f t="shared" si="2"/>
        <v>0</v>
      </c>
      <c r="BG248" s="20">
        <f t="shared" si="3"/>
        <v>0</v>
      </c>
    </row>
    <row r="249" spans="1:59" ht="14.25" customHeight="1">
      <c r="A249" s="149" t="s">
        <v>59</v>
      </c>
      <c r="B249" s="149" t="s">
        <v>523</v>
      </c>
      <c r="C249" s="151" t="s">
        <v>524</v>
      </c>
      <c r="D249" s="166" t="s">
        <v>62</v>
      </c>
      <c r="E249" s="151">
        <v>47</v>
      </c>
      <c r="F249" s="149" t="s">
        <v>710</v>
      </c>
      <c r="G249" s="149" t="s">
        <v>583</v>
      </c>
      <c r="H249" s="149" t="s">
        <v>584</v>
      </c>
      <c r="I249" s="149" t="s">
        <v>589</v>
      </c>
      <c r="J249" s="173">
        <v>43233600</v>
      </c>
      <c r="K249" s="149" t="s">
        <v>586</v>
      </c>
      <c r="L249" s="149" t="s">
        <v>145</v>
      </c>
      <c r="M249" s="165" t="s">
        <v>711</v>
      </c>
      <c r="N249" s="149" t="s">
        <v>180</v>
      </c>
      <c r="O249" s="149" t="s">
        <v>180</v>
      </c>
      <c r="P249" s="149" t="s">
        <v>180</v>
      </c>
      <c r="Q249" s="149">
        <v>12</v>
      </c>
      <c r="R249" s="149" t="s">
        <v>72</v>
      </c>
      <c r="S249" s="147" t="s">
        <v>156</v>
      </c>
      <c r="T249" s="149" t="s">
        <v>74</v>
      </c>
      <c r="U249" s="175">
        <v>14168834</v>
      </c>
      <c r="V249" s="175">
        <v>14168834</v>
      </c>
      <c r="W249" s="149" t="s">
        <v>75</v>
      </c>
      <c r="X249" s="149" t="s">
        <v>67</v>
      </c>
      <c r="Y249" s="149" t="s">
        <v>695</v>
      </c>
      <c r="Z249" s="149" t="s">
        <v>696</v>
      </c>
      <c r="AA249" s="149">
        <v>6012220601</v>
      </c>
      <c r="AB249" s="172" t="s">
        <v>697</v>
      </c>
      <c r="AC249" s="35"/>
      <c r="AD249" s="69"/>
      <c r="AE249" s="35"/>
      <c r="AF249" s="69"/>
      <c r="AG249" s="35"/>
      <c r="AH249" s="69"/>
      <c r="AI249" s="35"/>
      <c r="AJ249" s="35"/>
      <c r="AK249" s="35"/>
      <c r="AL249" s="35"/>
      <c r="AM249" s="35"/>
      <c r="AN249" s="35"/>
      <c r="AO249" s="35"/>
      <c r="AP249" s="35"/>
      <c r="AQ249" s="35"/>
      <c r="AR249" s="35"/>
      <c r="AS249" s="35"/>
      <c r="AT249" s="35"/>
      <c r="AU249" s="72">
        <v>14168834</v>
      </c>
      <c r="AV249" s="28"/>
      <c r="AW249" s="39"/>
      <c r="AX249" s="28">
        <v>14168834</v>
      </c>
      <c r="AY249" s="58"/>
      <c r="AZ249" s="27"/>
      <c r="BA249" s="59"/>
      <c r="BB249" s="17"/>
      <c r="BC249" s="18">
        <f t="shared" ref="BC249:BD249" si="243">AC249+AE249+AG249+AI249+AK249+AM249+AO249+AQ249+AS249+AU249+AW249+AY249+BA249</f>
        <v>14168834</v>
      </c>
      <c r="BD249" s="18">
        <f t="shared" si="243"/>
        <v>14168834</v>
      </c>
      <c r="BE249" s="20">
        <f t="shared" si="1"/>
        <v>0</v>
      </c>
      <c r="BF249" s="20">
        <f t="shared" si="2"/>
        <v>0</v>
      </c>
      <c r="BG249" s="20">
        <f t="shared" si="3"/>
        <v>0</v>
      </c>
    </row>
    <row r="250" spans="1:59" ht="14.25" customHeight="1">
      <c r="A250" s="149" t="s">
        <v>59</v>
      </c>
      <c r="B250" s="149" t="s">
        <v>712</v>
      </c>
      <c r="C250" s="166" t="s">
        <v>713</v>
      </c>
      <c r="D250" s="166" t="s">
        <v>62</v>
      </c>
      <c r="E250" s="166" t="s">
        <v>114</v>
      </c>
      <c r="F250" s="149" t="s">
        <v>714</v>
      </c>
      <c r="G250" s="149" t="s">
        <v>715</v>
      </c>
      <c r="H250" s="149" t="s">
        <v>716</v>
      </c>
      <c r="I250" s="149" t="s">
        <v>717</v>
      </c>
      <c r="J250" s="173">
        <v>80111620</v>
      </c>
      <c r="K250" s="149" t="s">
        <v>718</v>
      </c>
      <c r="L250" s="149" t="s">
        <v>83</v>
      </c>
      <c r="M250" s="149" t="s">
        <v>719</v>
      </c>
      <c r="N250" s="187" t="s">
        <v>91</v>
      </c>
      <c r="O250" s="187" t="s">
        <v>91</v>
      </c>
      <c r="P250" s="187" t="s">
        <v>91</v>
      </c>
      <c r="Q250" s="149">
        <v>11.5</v>
      </c>
      <c r="R250" s="149" t="s">
        <v>72</v>
      </c>
      <c r="S250" s="149" t="s">
        <v>73</v>
      </c>
      <c r="T250" s="149" t="s">
        <v>74</v>
      </c>
      <c r="U250" s="175">
        <v>103500000</v>
      </c>
      <c r="V250" s="175">
        <v>103500000</v>
      </c>
      <c r="W250" s="149" t="s">
        <v>75</v>
      </c>
      <c r="X250" s="149" t="s">
        <v>67</v>
      </c>
      <c r="Y250" s="149" t="s">
        <v>720</v>
      </c>
      <c r="Z250" s="149" t="s">
        <v>721</v>
      </c>
      <c r="AA250" s="149">
        <v>6012220601</v>
      </c>
      <c r="AB250" s="172" t="s">
        <v>722</v>
      </c>
      <c r="AC250" s="35">
        <v>103500000</v>
      </c>
      <c r="AD250" s="35"/>
      <c r="AE250" s="35"/>
      <c r="AF250" s="35">
        <v>6300000</v>
      </c>
      <c r="AG250" s="35"/>
      <c r="AH250" s="35">
        <v>9000000</v>
      </c>
      <c r="AI250" s="35"/>
      <c r="AJ250" s="35">
        <v>9000000</v>
      </c>
      <c r="AK250" s="35"/>
      <c r="AL250" s="35">
        <v>9000000</v>
      </c>
      <c r="AM250" s="35"/>
      <c r="AN250" s="35">
        <v>9000000</v>
      </c>
      <c r="AO250" s="35"/>
      <c r="AP250" s="35">
        <v>9000000</v>
      </c>
      <c r="AQ250" s="35"/>
      <c r="AR250" s="35">
        <v>9000000</v>
      </c>
      <c r="AS250" s="35"/>
      <c r="AT250" s="35">
        <v>9000000</v>
      </c>
      <c r="AU250" s="21"/>
      <c r="AV250" s="27">
        <v>9000000</v>
      </c>
      <c r="AW250" s="21"/>
      <c r="AX250" s="27">
        <v>9000000</v>
      </c>
      <c r="AY250" s="21"/>
      <c r="AZ250" s="27">
        <v>16200000</v>
      </c>
      <c r="BA250" s="17"/>
      <c r="BB250" s="17"/>
      <c r="BC250" s="18">
        <f t="shared" ref="BC250:BD250" si="244">AC250+AE250+AG250+AI250+AK250+AM250+AO250+AQ250+AS250+AU250+AW250+AY250+BA250</f>
        <v>103500000</v>
      </c>
      <c r="BD250" s="18">
        <f t="shared" si="244"/>
        <v>103500000</v>
      </c>
      <c r="BE250" s="19">
        <f t="shared" si="1"/>
        <v>0</v>
      </c>
      <c r="BF250" s="20">
        <f t="shared" si="2"/>
        <v>0</v>
      </c>
      <c r="BG250" s="20">
        <f t="shared" si="3"/>
        <v>0</v>
      </c>
    </row>
    <row r="251" spans="1:59" ht="14.25" customHeight="1">
      <c r="A251" s="147" t="s">
        <v>59</v>
      </c>
      <c r="B251" s="147" t="s">
        <v>712</v>
      </c>
      <c r="C251" s="166" t="s">
        <v>713</v>
      </c>
      <c r="D251" s="151" t="s">
        <v>62</v>
      </c>
      <c r="E251" s="151" t="s">
        <v>114</v>
      </c>
      <c r="F251" s="149" t="s">
        <v>723</v>
      </c>
      <c r="G251" s="147" t="s">
        <v>715</v>
      </c>
      <c r="H251" s="147" t="s">
        <v>716</v>
      </c>
      <c r="I251" s="147" t="s">
        <v>717</v>
      </c>
      <c r="J251" s="164">
        <v>80111620</v>
      </c>
      <c r="K251" s="147" t="s">
        <v>718</v>
      </c>
      <c r="L251" s="147" t="s">
        <v>83</v>
      </c>
      <c r="M251" s="147" t="s">
        <v>724</v>
      </c>
      <c r="N251" s="179" t="s">
        <v>91</v>
      </c>
      <c r="O251" s="179" t="s">
        <v>91</v>
      </c>
      <c r="P251" s="179" t="s">
        <v>91</v>
      </c>
      <c r="Q251" s="147">
        <v>2</v>
      </c>
      <c r="R251" s="147" t="s">
        <v>72</v>
      </c>
      <c r="S251" s="147" t="s">
        <v>73</v>
      </c>
      <c r="T251" s="147" t="s">
        <v>74</v>
      </c>
      <c r="U251" s="148">
        <v>26000000</v>
      </c>
      <c r="V251" s="148">
        <v>26000000</v>
      </c>
      <c r="W251" s="147" t="s">
        <v>75</v>
      </c>
      <c r="X251" s="147" t="s">
        <v>67</v>
      </c>
      <c r="Y251" s="147" t="s">
        <v>720</v>
      </c>
      <c r="Z251" s="147" t="s">
        <v>721</v>
      </c>
      <c r="AA251" s="147">
        <v>6012220601</v>
      </c>
      <c r="AB251" s="160" t="s">
        <v>722</v>
      </c>
      <c r="AC251" s="14">
        <v>26000000</v>
      </c>
      <c r="AD251" s="14"/>
      <c r="AE251" s="14"/>
      <c r="AF251" s="14">
        <v>7800000</v>
      </c>
      <c r="AG251" s="14"/>
      <c r="AH251" s="14">
        <v>13000000</v>
      </c>
      <c r="AI251" s="14"/>
      <c r="AJ251" s="14"/>
      <c r="AK251" s="14"/>
      <c r="AL251" s="14">
        <v>5200000</v>
      </c>
      <c r="AM251" s="14"/>
      <c r="AN251" s="14"/>
      <c r="AO251" s="14"/>
      <c r="AP251" s="14"/>
      <c r="AQ251" s="14"/>
      <c r="AR251" s="14"/>
      <c r="AS251" s="14"/>
      <c r="AT251" s="14"/>
      <c r="AU251" s="25"/>
      <c r="AV251" s="25"/>
      <c r="AW251" s="25"/>
      <c r="AX251" s="25"/>
      <c r="AY251" s="25"/>
      <c r="AZ251" s="25"/>
      <c r="BA251" s="17"/>
      <c r="BB251" s="17"/>
      <c r="BC251" s="18">
        <f t="shared" ref="BC251:BD251" si="245">AC251+AE251+AG251+AI251+AK251+AM251+AO251+AQ251+AS251+AU251+AW251+AY251+BA251</f>
        <v>26000000</v>
      </c>
      <c r="BD251" s="18">
        <f t="shared" si="245"/>
        <v>26000000</v>
      </c>
      <c r="BE251" s="19">
        <f t="shared" si="1"/>
        <v>0</v>
      </c>
      <c r="BF251" s="20">
        <f t="shared" si="2"/>
        <v>0</v>
      </c>
      <c r="BG251" s="20">
        <f t="shared" si="3"/>
        <v>0</v>
      </c>
    </row>
    <row r="252" spans="1:59" ht="14.25" customHeight="1">
      <c r="A252" s="147" t="s">
        <v>59</v>
      </c>
      <c r="B252" s="147" t="s">
        <v>712</v>
      </c>
      <c r="C252" s="166" t="s">
        <v>713</v>
      </c>
      <c r="D252" s="151" t="s">
        <v>62</v>
      </c>
      <c r="E252" s="151">
        <v>29</v>
      </c>
      <c r="F252" s="149" t="s">
        <v>725</v>
      </c>
      <c r="G252" s="147" t="s">
        <v>715</v>
      </c>
      <c r="H252" s="147" t="s">
        <v>716</v>
      </c>
      <c r="I252" s="147" t="s">
        <v>717</v>
      </c>
      <c r="J252" s="164">
        <v>80111620</v>
      </c>
      <c r="K252" s="147" t="s">
        <v>718</v>
      </c>
      <c r="L252" s="147" t="s">
        <v>83</v>
      </c>
      <c r="M252" s="147" t="s">
        <v>726</v>
      </c>
      <c r="N252" s="179" t="s">
        <v>91</v>
      </c>
      <c r="O252" s="179" t="s">
        <v>91</v>
      </c>
      <c r="P252" s="179" t="s">
        <v>91</v>
      </c>
      <c r="Q252" s="147">
        <v>11.5</v>
      </c>
      <c r="R252" s="147" t="s">
        <v>72</v>
      </c>
      <c r="S252" s="147" t="s">
        <v>73</v>
      </c>
      <c r="T252" s="147" t="s">
        <v>74</v>
      </c>
      <c r="U252" s="148">
        <v>89279267</v>
      </c>
      <c r="V252" s="148">
        <v>89279267</v>
      </c>
      <c r="W252" s="147" t="s">
        <v>75</v>
      </c>
      <c r="X252" s="147" t="s">
        <v>67</v>
      </c>
      <c r="Y252" s="147" t="s">
        <v>720</v>
      </c>
      <c r="Z252" s="147" t="s">
        <v>721</v>
      </c>
      <c r="AA252" s="147">
        <v>6012220601</v>
      </c>
      <c r="AB252" s="160" t="s">
        <v>722</v>
      </c>
      <c r="AC252" s="14">
        <v>81279263</v>
      </c>
      <c r="AD252" s="14"/>
      <c r="AE252" s="14"/>
      <c r="AF252" s="14">
        <v>3769473</v>
      </c>
      <c r="AG252" s="14"/>
      <c r="AH252" s="14">
        <v>7067762</v>
      </c>
      <c r="AI252" s="14"/>
      <c r="AJ252" s="14">
        <v>7067762</v>
      </c>
      <c r="AK252" s="14"/>
      <c r="AL252" s="14">
        <v>7067762</v>
      </c>
      <c r="AM252" s="14"/>
      <c r="AN252" s="14">
        <v>7067762</v>
      </c>
      <c r="AO252" s="14"/>
      <c r="AP252" s="14">
        <v>7067762</v>
      </c>
      <c r="AQ252" s="14">
        <v>8000000</v>
      </c>
      <c r="AR252" s="14">
        <v>7067762</v>
      </c>
      <c r="AS252" s="14"/>
      <c r="AT252" s="14">
        <f>7067762+ 2420566</f>
        <v>9488328</v>
      </c>
      <c r="AU252" s="25"/>
      <c r="AV252" s="25">
        <v>10067762</v>
      </c>
      <c r="AW252" s="25"/>
      <c r="AX252" s="25">
        <v>9567762</v>
      </c>
      <c r="AY252" s="28">
        <v>4</v>
      </c>
      <c r="AZ252" s="28">
        <v>13979370</v>
      </c>
      <c r="BA252" s="17"/>
      <c r="BB252" s="17"/>
      <c r="BC252" s="18">
        <f t="shared" ref="BC252:BD252" si="246">AC252+AE252+AG252+AI252+AK252+AM252+AO252+AQ252+AS252+AU252+AW252+AY252+BA252</f>
        <v>89279267</v>
      </c>
      <c r="BD252" s="18">
        <f t="shared" si="246"/>
        <v>89279267</v>
      </c>
      <c r="BE252" s="19">
        <f t="shared" si="1"/>
        <v>0</v>
      </c>
      <c r="BF252" s="20">
        <f t="shared" si="2"/>
        <v>0</v>
      </c>
      <c r="BG252" s="20">
        <f t="shared" si="3"/>
        <v>0</v>
      </c>
    </row>
    <row r="253" spans="1:59" ht="14.25" customHeight="1">
      <c r="A253" s="147" t="s">
        <v>59</v>
      </c>
      <c r="B253" s="147" t="s">
        <v>712</v>
      </c>
      <c r="C253" s="166" t="s">
        <v>713</v>
      </c>
      <c r="D253" s="151" t="s">
        <v>62</v>
      </c>
      <c r="E253" s="151">
        <v>16</v>
      </c>
      <c r="F253" s="149" t="s">
        <v>727</v>
      </c>
      <c r="G253" s="147" t="s">
        <v>715</v>
      </c>
      <c r="H253" s="147" t="s">
        <v>716</v>
      </c>
      <c r="I253" s="149" t="s">
        <v>717</v>
      </c>
      <c r="J253" s="173">
        <v>80111620</v>
      </c>
      <c r="K253" s="149" t="s">
        <v>718</v>
      </c>
      <c r="L253" s="149" t="s">
        <v>83</v>
      </c>
      <c r="M253" s="149" t="s">
        <v>728</v>
      </c>
      <c r="N253" s="179" t="s">
        <v>91</v>
      </c>
      <c r="O253" s="147" t="s">
        <v>85</v>
      </c>
      <c r="P253" s="147" t="s">
        <v>85</v>
      </c>
      <c r="Q253" s="147">
        <v>10</v>
      </c>
      <c r="R253" s="147" t="s">
        <v>72</v>
      </c>
      <c r="S253" s="147" t="s">
        <v>73</v>
      </c>
      <c r="T253" s="147" t="s">
        <v>74</v>
      </c>
      <c r="U253" s="148">
        <v>13122900</v>
      </c>
      <c r="V253" s="148">
        <v>13122900</v>
      </c>
      <c r="W253" s="147" t="s">
        <v>75</v>
      </c>
      <c r="X253" s="147" t="s">
        <v>67</v>
      </c>
      <c r="Y253" s="147" t="s">
        <v>720</v>
      </c>
      <c r="Z253" s="147" t="s">
        <v>721</v>
      </c>
      <c r="AA253" s="147">
        <v>6012220601</v>
      </c>
      <c r="AB253" s="160" t="s">
        <v>722</v>
      </c>
      <c r="AC253" s="14"/>
      <c r="AD253" s="14"/>
      <c r="AE253" s="14">
        <v>13122900</v>
      </c>
      <c r="AF253" s="14"/>
      <c r="AG253" s="14"/>
      <c r="AH253" s="14">
        <v>437430</v>
      </c>
      <c r="AI253" s="14"/>
      <c r="AJ253" s="14">
        <v>4374300</v>
      </c>
      <c r="AK253" s="14"/>
      <c r="AL253" s="14">
        <v>4374300</v>
      </c>
      <c r="AM253" s="14"/>
      <c r="AN253" s="14">
        <v>3936870</v>
      </c>
      <c r="AO253" s="14"/>
      <c r="AP253" s="14"/>
      <c r="AQ253" s="14"/>
      <c r="AR253" s="14"/>
      <c r="AS253" s="14"/>
      <c r="AT253" s="14"/>
      <c r="AU253" s="15"/>
      <c r="AV253" s="15"/>
      <c r="AW253" s="15"/>
      <c r="AX253" s="15"/>
      <c r="AY253" s="15"/>
      <c r="AZ253" s="15"/>
      <c r="BA253" s="17"/>
      <c r="BB253" s="17"/>
      <c r="BC253" s="18">
        <f t="shared" ref="BC253:BD253" si="247">AC253+AE253+AG253+AI253+AK253+AM253+AO253+AQ253+AS253+AU253+AW253+AY253+BA253</f>
        <v>13122900</v>
      </c>
      <c r="BD253" s="18">
        <f t="shared" si="247"/>
        <v>13122900</v>
      </c>
      <c r="BE253" s="19">
        <f t="shared" si="1"/>
        <v>0</v>
      </c>
      <c r="BF253" s="20">
        <f t="shared" si="2"/>
        <v>0</v>
      </c>
      <c r="BG253" s="20">
        <f t="shared" si="3"/>
        <v>0</v>
      </c>
    </row>
    <row r="254" spans="1:59" ht="14.25" customHeight="1">
      <c r="A254" s="147" t="s">
        <v>59</v>
      </c>
      <c r="B254" s="147" t="s">
        <v>712</v>
      </c>
      <c r="C254" s="166" t="s">
        <v>713</v>
      </c>
      <c r="D254" s="151" t="s">
        <v>62</v>
      </c>
      <c r="E254" s="151">
        <v>45</v>
      </c>
      <c r="F254" s="149" t="s">
        <v>729</v>
      </c>
      <c r="G254" s="147" t="s">
        <v>715</v>
      </c>
      <c r="H254" s="147" t="s">
        <v>716</v>
      </c>
      <c r="I254" s="147" t="s">
        <v>717</v>
      </c>
      <c r="J254" s="164" t="s">
        <v>67</v>
      </c>
      <c r="K254" s="147" t="s">
        <v>718</v>
      </c>
      <c r="L254" s="147" t="s">
        <v>83</v>
      </c>
      <c r="M254" s="147" t="s">
        <v>730</v>
      </c>
      <c r="N254" s="147" t="s">
        <v>71</v>
      </c>
      <c r="O254" s="147" t="s">
        <v>180</v>
      </c>
      <c r="P254" s="147" t="s">
        <v>226</v>
      </c>
      <c r="Q254" s="147">
        <v>3</v>
      </c>
      <c r="R254" s="147" t="s">
        <v>72</v>
      </c>
      <c r="S254" s="147" t="s">
        <v>156</v>
      </c>
      <c r="T254" s="147" t="s">
        <v>74</v>
      </c>
      <c r="U254" s="148">
        <v>4600000</v>
      </c>
      <c r="V254" s="148">
        <v>4600000</v>
      </c>
      <c r="W254" s="147" t="s">
        <v>75</v>
      </c>
      <c r="X254" s="147" t="s">
        <v>67</v>
      </c>
      <c r="Y254" s="147" t="s">
        <v>720</v>
      </c>
      <c r="Z254" s="147" t="s">
        <v>721</v>
      </c>
      <c r="AA254" s="147">
        <v>6012220601</v>
      </c>
      <c r="AB254" s="160" t="s">
        <v>722</v>
      </c>
      <c r="AC254" s="14"/>
      <c r="AD254" s="14"/>
      <c r="AE254" s="14"/>
      <c r="AF254" s="14"/>
      <c r="AG254" s="14"/>
      <c r="AH254" s="14"/>
      <c r="AI254" s="14"/>
      <c r="AJ254" s="14"/>
      <c r="AK254" s="14"/>
      <c r="AL254" s="14"/>
      <c r="AM254" s="14"/>
      <c r="AN254" s="14"/>
      <c r="AO254" s="14"/>
      <c r="AP254" s="14"/>
      <c r="AQ254" s="14"/>
      <c r="AR254" s="14"/>
      <c r="AS254" s="14"/>
      <c r="AT254" s="14"/>
      <c r="AU254" s="28">
        <v>4600000</v>
      </c>
      <c r="AV254" s="25"/>
      <c r="AW254" s="28"/>
      <c r="AX254" s="25"/>
      <c r="AY254" s="25"/>
      <c r="AZ254" s="28">
        <v>4600000</v>
      </c>
      <c r="BA254" s="17"/>
      <c r="BB254" s="17"/>
      <c r="BC254" s="18">
        <f t="shared" ref="BC254:BD254" si="248">AC254+AE254+AG254+AI254+AK254+AM254+AO254+AQ254+AS254+AU254+AW254+AY254+BA254</f>
        <v>4600000</v>
      </c>
      <c r="BD254" s="18">
        <f t="shared" si="248"/>
        <v>4600000</v>
      </c>
      <c r="BE254" s="19">
        <f t="shared" si="1"/>
        <v>0</v>
      </c>
      <c r="BF254" s="20">
        <f t="shared" si="2"/>
        <v>0</v>
      </c>
      <c r="BG254" s="20">
        <f t="shared" si="3"/>
        <v>0</v>
      </c>
    </row>
    <row r="255" spans="1:59" ht="16.5" customHeight="1">
      <c r="A255" s="147" t="s">
        <v>59</v>
      </c>
      <c r="B255" s="147" t="s">
        <v>712</v>
      </c>
      <c r="C255" s="166" t="s">
        <v>713</v>
      </c>
      <c r="D255" s="151" t="s">
        <v>62</v>
      </c>
      <c r="E255" s="151">
        <v>45</v>
      </c>
      <c r="F255" s="149" t="s">
        <v>731</v>
      </c>
      <c r="G255" s="147" t="s">
        <v>715</v>
      </c>
      <c r="H255" s="147" t="s">
        <v>716</v>
      </c>
      <c r="I255" s="147" t="s">
        <v>528</v>
      </c>
      <c r="J255" s="164" t="s">
        <v>67</v>
      </c>
      <c r="K255" s="147" t="s">
        <v>718</v>
      </c>
      <c r="L255" s="147" t="s">
        <v>275</v>
      </c>
      <c r="M255" s="147" t="s">
        <v>732</v>
      </c>
      <c r="N255" s="179" t="s">
        <v>733</v>
      </c>
      <c r="O255" s="179" t="s">
        <v>733</v>
      </c>
      <c r="P255" s="187" t="s">
        <v>91</v>
      </c>
      <c r="Q255" s="147" t="s">
        <v>733</v>
      </c>
      <c r="R255" s="179" t="s">
        <v>733</v>
      </c>
      <c r="S255" s="147" t="s">
        <v>67</v>
      </c>
      <c r="T255" s="147" t="s">
        <v>74</v>
      </c>
      <c r="U255" s="148">
        <v>20447305</v>
      </c>
      <c r="V255" s="148">
        <v>20447305</v>
      </c>
      <c r="W255" s="147" t="s">
        <v>75</v>
      </c>
      <c r="X255" s="147" t="s">
        <v>67</v>
      </c>
      <c r="Y255" s="147" t="s">
        <v>720</v>
      </c>
      <c r="Z255" s="147" t="s">
        <v>721</v>
      </c>
      <c r="AA255" s="147">
        <v>6012220601</v>
      </c>
      <c r="AB255" s="160" t="s">
        <v>722</v>
      </c>
      <c r="AC255" s="14"/>
      <c r="AD255" s="14"/>
      <c r="AE255" s="14"/>
      <c r="AF255" s="14"/>
      <c r="AG255" s="14"/>
      <c r="AH255" s="14"/>
      <c r="AI255" s="14"/>
      <c r="AJ255" s="14"/>
      <c r="AK255" s="14">
        <v>6443381</v>
      </c>
      <c r="AL255" s="14">
        <v>6443381</v>
      </c>
      <c r="AM255" s="14">
        <v>1315736</v>
      </c>
      <c r="AN255" s="14">
        <v>1069794</v>
      </c>
      <c r="AO255" s="14">
        <v>5372495</v>
      </c>
      <c r="AP255" s="14">
        <v>5121102</v>
      </c>
      <c r="AQ255" s="14">
        <v>1186328</v>
      </c>
      <c r="AR255" s="14">
        <v>251393</v>
      </c>
      <c r="AS255" s="14">
        <f>993029+ 788729+1232887 + 1699853 + 1155402</f>
        <v>5869900</v>
      </c>
      <c r="AT255" s="14">
        <f>1186328+ 993029 + 788729 + 1232887 + 1699853 + 1155402</f>
        <v>7056228</v>
      </c>
      <c r="AU255" s="28">
        <v>259465</v>
      </c>
      <c r="AV255" s="28">
        <v>505407</v>
      </c>
      <c r="AW255" s="28"/>
      <c r="AX255" s="28"/>
      <c r="AY255" s="28"/>
      <c r="AZ255" s="28"/>
      <c r="BA255" s="17"/>
      <c r="BB255" s="17"/>
      <c r="BC255" s="18">
        <f t="shared" ref="BC255:BD255" si="249">AC255+AE255+AG255+AI255+AK255+AM255+AO255+AQ255+AS255+AU255+AW255+AY255+BA255</f>
        <v>20447305</v>
      </c>
      <c r="BD255" s="18">
        <f t="shared" si="249"/>
        <v>20447305</v>
      </c>
      <c r="BE255" s="19">
        <f t="shared" si="1"/>
        <v>0</v>
      </c>
      <c r="BF255" s="20">
        <f t="shared" si="2"/>
        <v>0</v>
      </c>
      <c r="BG255" s="20">
        <f t="shared" si="3"/>
        <v>0</v>
      </c>
    </row>
    <row r="256" spans="1:59" ht="14.25" customHeight="1">
      <c r="A256" s="147" t="s">
        <v>59</v>
      </c>
      <c r="B256" s="147" t="s">
        <v>712</v>
      </c>
      <c r="C256" s="166" t="s">
        <v>713</v>
      </c>
      <c r="D256" s="151" t="s">
        <v>62</v>
      </c>
      <c r="E256" s="151">
        <v>18</v>
      </c>
      <c r="F256" s="149" t="s">
        <v>734</v>
      </c>
      <c r="G256" s="147" t="s">
        <v>715</v>
      </c>
      <c r="H256" s="147" t="s">
        <v>716</v>
      </c>
      <c r="I256" s="147" t="s">
        <v>528</v>
      </c>
      <c r="J256" s="164">
        <v>80111620</v>
      </c>
      <c r="K256" s="147" t="s">
        <v>718</v>
      </c>
      <c r="L256" s="147" t="s">
        <v>83</v>
      </c>
      <c r="M256" s="147" t="s">
        <v>735</v>
      </c>
      <c r="N256" s="179" t="s">
        <v>91</v>
      </c>
      <c r="O256" s="179" t="s">
        <v>91</v>
      </c>
      <c r="P256" s="179" t="s">
        <v>91</v>
      </c>
      <c r="Q256" s="147">
        <v>11</v>
      </c>
      <c r="R256" s="147" t="s">
        <v>72</v>
      </c>
      <c r="S256" s="147" t="s">
        <v>73</v>
      </c>
      <c r="T256" s="147" t="s">
        <v>74</v>
      </c>
      <c r="U256" s="148">
        <v>87893680</v>
      </c>
      <c r="V256" s="148">
        <v>87893680</v>
      </c>
      <c r="W256" s="147" t="s">
        <v>75</v>
      </c>
      <c r="X256" s="147" t="s">
        <v>67</v>
      </c>
      <c r="Y256" s="147" t="s">
        <v>720</v>
      </c>
      <c r="Z256" s="147" t="s">
        <v>721</v>
      </c>
      <c r="AA256" s="147">
        <v>6012220601</v>
      </c>
      <c r="AB256" s="160" t="s">
        <v>722</v>
      </c>
      <c r="AC256" s="14">
        <v>90011600</v>
      </c>
      <c r="AD256" s="14"/>
      <c r="AE256" s="14">
        <v>-2117920</v>
      </c>
      <c r="AF256" s="14">
        <v>529480</v>
      </c>
      <c r="AG256" s="14"/>
      <c r="AH256" s="14">
        <v>7942200</v>
      </c>
      <c r="AI256" s="14"/>
      <c r="AJ256" s="14">
        <v>7942200</v>
      </c>
      <c r="AK256" s="14"/>
      <c r="AL256" s="14">
        <v>7942200</v>
      </c>
      <c r="AM256" s="14"/>
      <c r="AN256" s="14">
        <v>7942200</v>
      </c>
      <c r="AO256" s="14"/>
      <c r="AP256" s="14">
        <v>7942200</v>
      </c>
      <c r="AQ256" s="14"/>
      <c r="AR256" s="14">
        <v>7942200</v>
      </c>
      <c r="AS256" s="14"/>
      <c r="AT256" s="14">
        <v>7942200</v>
      </c>
      <c r="AU256" s="15"/>
      <c r="AV256" s="15">
        <v>7942200</v>
      </c>
      <c r="AW256" s="15"/>
      <c r="AX256" s="15">
        <v>7942200</v>
      </c>
      <c r="AY256" s="15"/>
      <c r="AZ256" s="15">
        <v>15884400</v>
      </c>
      <c r="BA256" s="17"/>
      <c r="BB256" s="17"/>
      <c r="BC256" s="18">
        <f t="shared" ref="BC256:BD256" si="250">AC256+AE256+AG256+AI256+AK256+AM256+AO256+AQ256+AS256+AU256+AW256+AY256+BA256</f>
        <v>87893680</v>
      </c>
      <c r="BD256" s="18">
        <f t="shared" si="250"/>
        <v>87893680</v>
      </c>
      <c r="BE256" s="19">
        <f t="shared" si="1"/>
        <v>0</v>
      </c>
      <c r="BF256" s="20">
        <f t="shared" si="2"/>
        <v>0</v>
      </c>
      <c r="BG256" s="20">
        <f t="shared" si="3"/>
        <v>0</v>
      </c>
    </row>
    <row r="257" spans="1:59" ht="14.25" customHeight="1">
      <c r="A257" s="147" t="s">
        <v>59</v>
      </c>
      <c r="B257" s="147" t="s">
        <v>712</v>
      </c>
      <c r="C257" s="166" t="s">
        <v>713</v>
      </c>
      <c r="D257" s="151" t="s">
        <v>62</v>
      </c>
      <c r="E257" s="151">
        <v>2</v>
      </c>
      <c r="F257" s="149" t="s">
        <v>736</v>
      </c>
      <c r="G257" s="147" t="s">
        <v>715</v>
      </c>
      <c r="H257" s="147" t="s">
        <v>716</v>
      </c>
      <c r="I257" s="147" t="s">
        <v>737</v>
      </c>
      <c r="J257" s="164">
        <v>78111502</v>
      </c>
      <c r="K257" s="147" t="s">
        <v>718</v>
      </c>
      <c r="L257" s="147" t="s">
        <v>562</v>
      </c>
      <c r="M257" s="147" t="s">
        <v>738</v>
      </c>
      <c r="N257" s="147" t="s">
        <v>127</v>
      </c>
      <c r="O257" s="147" t="s">
        <v>127</v>
      </c>
      <c r="P257" s="147" t="s">
        <v>127</v>
      </c>
      <c r="Q257" s="147">
        <v>8</v>
      </c>
      <c r="R257" s="147" t="s">
        <v>72</v>
      </c>
      <c r="S257" s="147" t="s">
        <v>536</v>
      </c>
      <c r="T257" s="147" t="s">
        <v>74</v>
      </c>
      <c r="U257" s="148">
        <v>17341466</v>
      </c>
      <c r="V257" s="148">
        <v>17341466</v>
      </c>
      <c r="W257" s="147" t="s">
        <v>75</v>
      </c>
      <c r="X257" s="147" t="s">
        <v>67</v>
      </c>
      <c r="Y257" s="147" t="s">
        <v>720</v>
      </c>
      <c r="Z257" s="147" t="s">
        <v>721</v>
      </c>
      <c r="AA257" s="147">
        <v>6012220601</v>
      </c>
      <c r="AB257" s="160" t="s">
        <v>722</v>
      </c>
      <c r="AC257" s="14"/>
      <c r="AD257" s="14"/>
      <c r="AE257" s="14"/>
      <c r="AF257" s="14"/>
      <c r="AG257" s="14"/>
      <c r="AH257" s="14"/>
      <c r="AI257" s="14"/>
      <c r="AJ257" s="14"/>
      <c r="AK257" s="14"/>
      <c r="AL257" s="14"/>
      <c r="AM257" s="14">
        <v>17341466</v>
      </c>
      <c r="AN257" s="14"/>
      <c r="AO257" s="14"/>
      <c r="AP257" s="14">
        <v>841068</v>
      </c>
      <c r="AQ257" s="14"/>
      <c r="AR257" s="14">
        <f>1025710+ 4489603 + 863978</f>
        <v>6379291</v>
      </c>
      <c r="AS257" s="14"/>
      <c r="AT257" s="14">
        <f>2124826+ 1357057</f>
        <v>3481883</v>
      </c>
      <c r="AU257" s="25"/>
      <c r="AV257" s="28">
        <v>2000000</v>
      </c>
      <c r="AW257" s="25"/>
      <c r="AX257" s="28">
        <v>2200000</v>
      </c>
      <c r="AY257" s="25"/>
      <c r="AZ257" s="28">
        <v>3721107</v>
      </c>
      <c r="BA257" s="17"/>
      <c r="BB257" s="17"/>
      <c r="BC257" s="18">
        <f t="shared" ref="BC257:BC511" si="251">AC257+AE257+AG257+AI257+AK257+AM257+AO257+AQ257+AS257+AU257+AW257+AY257+BA257</f>
        <v>17341466</v>
      </c>
      <c r="BD257" s="74">
        <v>17341466</v>
      </c>
      <c r="BE257" s="19">
        <f t="shared" si="1"/>
        <v>0</v>
      </c>
      <c r="BF257" s="20">
        <f t="shared" si="2"/>
        <v>0</v>
      </c>
      <c r="BG257" s="20">
        <f t="shared" si="3"/>
        <v>0</v>
      </c>
    </row>
    <row r="258" spans="1:59" ht="17.25" customHeight="1">
      <c r="A258" s="147" t="s">
        <v>59</v>
      </c>
      <c r="B258" s="147" t="s">
        <v>712</v>
      </c>
      <c r="C258" s="166" t="s">
        <v>713</v>
      </c>
      <c r="D258" s="151" t="s">
        <v>62</v>
      </c>
      <c r="E258" s="151">
        <v>5</v>
      </c>
      <c r="F258" s="149" t="s">
        <v>739</v>
      </c>
      <c r="G258" s="147" t="s">
        <v>715</v>
      </c>
      <c r="H258" s="147" t="s">
        <v>716</v>
      </c>
      <c r="I258" s="147" t="s">
        <v>737</v>
      </c>
      <c r="J258" s="164">
        <v>80111620</v>
      </c>
      <c r="K258" s="147" t="s">
        <v>718</v>
      </c>
      <c r="L258" s="147" t="s">
        <v>83</v>
      </c>
      <c r="M258" s="147" t="s">
        <v>740</v>
      </c>
      <c r="N258" s="179" t="s">
        <v>91</v>
      </c>
      <c r="O258" s="147" t="s">
        <v>85</v>
      </c>
      <c r="P258" s="147" t="s">
        <v>85</v>
      </c>
      <c r="Q258" s="147">
        <v>11</v>
      </c>
      <c r="R258" s="147" t="s">
        <v>72</v>
      </c>
      <c r="S258" s="147" t="s">
        <v>73</v>
      </c>
      <c r="T258" s="147" t="s">
        <v>74</v>
      </c>
      <c r="U258" s="148">
        <v>127724300</v>
      </c>
      <c r="V258" s="148">
        <v>127724300</v>
      </c>
      <c r="W258" s="147" t="s">
        <v>75</v>
      </c>
      <c r="X258" s="147" t="s">
        <v>67</v>
      </c>
      <c r="Y258" s="147" t="s">
        <v>720</v>
      </c>
      <c r="Z258" s="147" t="s">
        <v>721</v>
      </c>
      <c r="AA258" s="147">
        <v>6012220601</v>
      </c>
      <c r="AB258" s="160" t="s">
        <v>722</v>
      </c>
      <c r="AC258" s="14"/>
      <c r="AD258" s="14"/>
      <c r="AE258" s="14">
        <v>81279100</v>
      </c>
      <c r="AF258" s="14"/>
      <c r="AG258" s="14">
        <v>44122940</v>
      </c>
      <c r="AH258" s="14">
        <v>9289040</v>
      </c>
      <c r="AI258" s="14"/>
      <c r="AJ258" s="14">
        <v>11611300</v>
      </c>
      <c r="AK258" s="14"/>
      <c r="AL258" s="14">
        <v>11611300</v>
      </c>
      <c r="AM258" s="14"/>
      <c r="AN258" s="14">
        <v>11611300</v>
      </c>
      <c r="AO258" s="14"/>
      <c r="AP258" s="14">
        <v>11611300</v>
      </c>
      <c r="AQ258" s="14"/>
      <c r="AR258" s="14">
        <v>11611300</v>
      </c>
      <c r="AS258" s="14"/>
      <c r="AT258" s="14">
        <v>11611300</v>
      </c>
      <c r="AU258" s="15"/>
      <c r="AV258" s="15">
        <v>11611300</v>
      </c>
      <c r="AW258" s="15"/>
      <c r="AX258" s="15">
        <v>11611300</v>
      </c>
      <c r="AY258" s="15">
        <v>2322260</v>
      </c>
      <c r="AZ258" s="15">
        <v>25544860</v>
      </c>
      <c r="BA258" s="17"/>
      <c r="BB258" s="17"/>
      <c r="BC258" s="18">
        <f t="shared" si="251"/>
        <v>127724300</v>
      </c>
      <c r="BD258" s="18">
        <f t="shared" ref="BD258:BD512" si="252">AD258+AF258+AH258+AJ258+AL258+AN258+AP258+AR258+AT258+AV258+AX258+AZ258+BB258</f>
        <v>127724300</v>
      </c>
      <c r="BE258" s="19">
        <f t="shared" si="1"/>
        <v>0</v>
      </c>
      <c r="BF258" s="20">
        <f t="shared" si="2"/>
        <v>0</v>
      </c>
      <c r="BG258" s="20">
        <f t="shared" si="3"/>
        <v>0</v>
      </c>
    </row>
    <row r="259" spans="1:59" ht="14.25" customHeight="1">
      <c r="A259" s="147" t="s">
        <v>59</v>
      </c>
      <c r="B259" s="147" t="s">
        <v>712</v>
      </c>
      <c r="C259" s="166" t="s">
        <v>713</v>
      </c>
      <c r="D259" s="151" t="s">
        <v>62</v>
      </c>
      <c r="E259" s="151">
        <v>5</v>
      </c>
      <c r="F259" s="149" t="s">
        <v>741</v>
      </c>
      <c r="G259" s="147" t="s">
        <v>715</v>
      </c>
      <c r="H259" s="147" t="s">
        <v>716</v>
      </c>
      <c r="I259" s="147" t="s">
        <v>737</v>
      </c>
      <c r="J259" s="164">
        <v>80111620</v>
      </c>
      <c r="K259" s="147" t="s">
        <v>718</v>
      </c>
      <c r="L259" s="147" t="s">
        <v>83</v>
      </c>
      <c r="M259" s="147" t="s">
        <v>742</v>
      </c>
      <c r="N259" s="179" t="s">
        <v>91</v>
      </c>
      <c r="O259" s="147" t="s">
        <v>85</v>
      </c>
      <c r="P259" s="147" t="s">
        <v>86</v>
      </c>
      <c r="Q259" s="147">
        <v>10</v>
      </c>
      <c r="R259" s="147" t="s">
        <v>72</v>
      </c>
      <c r="S259" s="147" t="s">
        <v>73</v>
      </c>
      <c r="T259" s="147" t="s">
        <v>74</v>
      </c>
      <c r="U259" s="148">
        <v>70677620</v>
      </c>
      <c r="V259" s="148">
        <v>70677620</v>
      </c>
      <c r="W259" s="147" t="s">
        <v>75</v>
      </c>
      <c r="X259" s="147" t="s">
        <v>67</v>
      </c>
      <c r="Y259" s="147" t="s">
        <v>720</v>
      </c>
      <c r="Z259" s="147" t="s">
        <v>721</v>
      </c>
      <c r="AA259" s="147">
        <v>6012220601</v>
      </c>
      <c r="AB259" s="160" t="s">
        <v>722</v>
      </c>
      <c r="AC259" s="14"/>
      <c r="AD259" s="14"/>
      <c r="AE259" s="14">
        <v>70677620</v>
      </c>
      <c r="AF259" s="14"/>
      <c r="AG259" s="14"/>
      <c r="AH259" s="14">
        <v>1649144</v>
      </c>
      <c r="AI259" s="14"/>
      <c r="AJ259" s="14">
        <v>7067762</v>
      </c>
      <c r="AK259" s="14"/>
      <c r="AL259" s="14">
        <v>7067762</v>
      </c>
      <c r="AM259" s="14"/>
      <c r="AN259" s="14">
        <v>7067762</v>
      </c>
      <c r="AO259" s="14"/>
      <c r="AP259" s="14">
        <v>7067762</v>
      </c>
      <c r="AQ259" s="14"/>
      <c r="AR259" s="14">
        <v>7067762</v>
      </c>
      <c r="AS259" s="14"/>
      <c r="AT259" s="14">
        <v>7067762</v>
      </c>
      <c r="AU259" s="15"/>
      <c r="AV259" s="15">
        <v>7067762</v>
      </c>
      <c r="AW259" s="15"/>
      <c r="AX259" s="15">
        <v>7067762</v>
      </c>
      <c r="AY259" s="15"/>
      <c r="AZ259" s="15">
        <v>12486380</v>
      </c>
      <c r="BA259" s="17"/>
      <c r="BB259" s="17"/>
      <c r="BC259" s="18">
        <f t="shared" si="251"/>
        <v>70677620</v>
      </c>
      <c r="BD259" s="18">
        <f t="shared" si="252"/>
        <v>70677620</v>
      </c>
      <c r="BE259" s="19">
        <f t="shared" si="1"/>
        <v>0</v>
      </c>
      <c r="BF259" s="20">
        <f t="shared" si="2"/>
        <v>0</v>
      </c>
      <c r="BG259" s="20">
        <f t="shared" si="3"/>
        <v>0</v>
      </c>
    </row>
    <row r="260" spans="1:59" ht="14.25" customHeight="1">
      <c r="A260" s="147" t="s">
        <v>59</v>
      </c>
      <c r="B260" s="147" t="s">
        <v>712</v>
      </c>
      <c r="C260" s="166" t="s">
        <v>713</v>
      </c>
      <c r="D260" s="151" t="s">
        <v>62</v>
      </c>
      <c r="E260" s="151" t="s">
        <v>114</v>
      </c>
      <c r="F260" s="149" t="s">
        <v>743</v>
      </c>
      <c r="G260" s="147" t="s">
        <v>715</v>
      </c>
      <c r="H260" s="147" t="s">
        <v>716</v>
      </c>
      <c r="I260" s="147" t="s">
        <v>737</v>
      </c>
      <c r="J260" s="164">
        <v>80111620</v>
      </c>
      <c r="K260" s="147" t="s">
        <v>718</v>
      </c>
      <c r="L260" s="147" t="s">
        <v>83</v>
      </c>
      <c r="M260" s="147" t="s">
        <v>744</v>
      </c>
      <c r="N260" s="179" t="s">
        <v>91</v>
      </c>
      <c r="O260" s="179" t="s">
        <v>91</v>
      </c>
      <c r="P260" s="179" t="s">
        <v>91</v>
      </c>
      <c r="Q260" s="147">
        <v>11.5</v>
      </c>
      <c r="R260" s="147" t="s">
        <v>72</v>
      </c>
      <c r="S260" s="147" t="s">
        <v>73</v>
      </c>
      <c r="T260" s="147" t="s">
        <v>74</v>
      </c>
      <c r="U260" s="148">
        <v>49852500</v>
      </c>
      <c r="V260" s="148">
        <v>49852500</v>
      </c>
      <c r="W260" s="147" t="s">
        <v>75</v>
      </c>
      <c r="X260" s="147" t="s">
        <v>67</v>
      </c>
      <c r="Y260" s="147" t="s">
        <v>720</v>
      </c>
      <c r="Z260" s="147" t="s">
        <v>721</v>
      </c>
      <c r="AA260" s="147">
        <v>6012220601</v>
      </c>
      <c r="AB260" s="160" t="s">
        <v>722</v>
      </c>
      <c r="AC260" s="14">
        <v>49852500</v>
      </c>
      <c r="AD260" s="14"/>
      <c r="AE260" s="14">
        <v>-144500</v>
      </c>
      <c r="AF260" s="14">
        <v>2023000</v>
      </c>
      <c r="AG260" s="14"/>
      <c r="AH260" s="14">
        <v>4335000</v>
      </c>
      <c r="AI260" s="14"/>
      <c r="AJ260" s="14">
        <v>4335000</v>
      </c>
      <c r="AK260" s="14"/>
      <c r="AL260" s="14">
        <v>4335000</v>
      </c>
      <c r="AM260" s="14"/>
      <c r="AN260" s="14">
        <v>4335000</v>
      </c>
      <c r="AO260" s="14"/>
      <c r="AP260" s="14">
        <v>4335000</v>
      </c>
      <c r="AQ260" s="14"/>
      <c r="AR260" s="14">
        <v>4335000</v>
      </c>
      <c r="AS260" s="14"/>
      <c r="AT260" s="14">
        <v>4335000</v>
      </c>
      <c r="AU260" s="25"/>
      <c r="AV260" s="28">
        <v>4335000</v>
      </c>
      <c r="AW260" s="25"/>
      <c r="AX260" s="28">
        <v>4335000</v>
      </c>
      <c r="AY260" s="28">
        <v>144500</v>
      </c>
      <c r="AZ260" s="28">
        <v>8814500</v>
      </c>
      <c r="BA260" s="17"/>
      <c r="BB260" s="17"/>
      <c r="BC260" s="18">
        <f t="shared" si="251"/>
        <v>49852500</v>
      </c>
      <c r="BD260" s="18">
        <f t="shared" si="252"/>
        <v>49852500</v>
      </c>
      <c r="BE260" s="19">
        <f t="shared" si="1"/>
        <v>0</v>
      </c>
      <c r="BF260" s="20">
        <f t="shared" si="2"/>
        <v>0</v>
      </c>
      <c r="BG260" s="20">
        <f t="shared" si="3"/>
        <v>0</v>
      </c>
    </row>
    <row r="261" spans="1:59" ht="14.25" customHeight="1">
      <c r="A261" s="147" t="s">
        <v>59</v>
      </c>
      <c r="B261" s="147" t="s">
        <v>712</v>
      </c>
      <c r="C261" s="166" t="s">
        <v>713</v>
      </c>
      <c r="D261" s="151" t="s">
        <v>62</v>
      </c>
      <c r="E261" s="151">
        <v>18</v>
      </c>
      <c r="F261" s="149" t="s">
        <v>745</v>
      </c>
      <c r="G261" s="147" t="s">
        <v>746</v>
      </c>
      <c r="H261" s="147" t="s">
        <v>747</v>
      </c>
      <c r="I261" s="147" t="s">
        <v>748</v>
      </c>
      <c r="J261" s="164">
        <v>81121503</v>
      </c>
      <c r="K261" s="147" t="s">
        <v>749</v>
      </c>
      <c r="L261" s="147" t="s">
        <v>750</v>
      </c>
      <c r="M261" s="147" t="s">
        <v>751</v>
      </c>
      <c r="N261" s="147" t="s">
        <v>99</v>
      </c>
      <c r="O261" s="147" t="s">
        <v>128</v>
      </c>
      <c r="P261" s="149" t="s">
        <v>128</v>
      </c>
      <c r="Q261" s="147">
        <v>6</v>
      </c>
      <c r="R261" s="147" t="s">
        <v>72</v>
      </c>
      <c r="S261" s="147" t="s">
        <v>133</v>
      </c>
      <c r="T261" s="147" t="s">
        <v>74</v>
      </c>
      <c r="U261" s="148">
        <v>60000000</v>
      </c>
      <c r="V261" s="148">
        <v>60000000</v>
      </c>
      <c r="W261" s="147" t="s">
        <v>75</v>
      </c>
      <c r="X261" s="147" t="s">
        <v>67</v>
      </c>
      <c r="Y261" s="147" t="s">
        <v>720</v>
      </c>
      <c r="Z261" s="147" t="s">
        <v>721</v>
      </c>
      <c r="AA261" s="147">
        <v>6012220601</v>
      </c>
      <c r="AB261" s="160" t="s">
        <v>722</v>
      </c>
      <c r="AC261" s="14"/>
      <c r="AD261" s="14"/>
      <c r="AE261" s="14"/>
      <c r="AF261" s="14"/>
      <c r="AG261" s="14"/>
      <c r="AH261" s="14"/>
      <c r="AI261" s="14"/>
      <c r="AJ261" s="14"/>
      <c r="AK261" s="14"/>
      <c r="AL261" s="14"/>
      <c r="AM261" s="14"/>
      <c r="AN261" s="14"/>
      <c r="AO261" s="14"/>
      <c r="AP261" s="14"/>
      <c r="AQ261" s="14"/>
      <c r="AR261" s="14"/>
      <c r="AS261" s="14"/>
      <c r="AT261" s="14"/>
      <c r="AU261" s="28">
        <v>60000000</v>
      </c>
      <c r="AV261" s="28">
        <v>34917708</v>
      </c>
      <c r="AW261" s="25"/>
      <c r="AX261" s="25"/>
      <c r="AY261" s="25"/>
      <c r="AZ261" s="28">
        <v>25082292</v>
      </c>
      <c r="BA261" s="17"/>
      <c r="BB261" s="17"/>
      <c r="BC261" s="18">
        <f t="shared" si="251"/>
        <v>60000000</v>
      </c>
      <c r="BD261" s="18">
        <f t="shared" si="252"/>
        <v>60000000</v>
      </c>
      <c r="BE261" s="19">
        <f t="shared" si="1"/>
        <v>0</v>
      </c>
      <c r="BF261" s="20">
        <f t="shared" si="2"/>
        <v>0</v>
      </c>
      <c r="BG261" s="20">
        <f t="shared" si="3"/>
        <v>0</v>
      </c>
    </row>
    <row r="262" spans="1:59" ht="14.25" customHeight="1">
      <c r="A262" s="147" t="s">
        <v>59</v>
      </c>
      <c r="B262" s="147" t="s">
        <v>712</v>
      </c>
      <c r="C262" s="166" t="s">
        <v>713</v>
      </c>
      <c r="D262" s="151" t="s">
        <v>62</v>
      </c>
      <c r="E262" s="151">
        <v>5</v>
      </c>
      <c r="F262" s="149" t="s">
        <v>752</v>
      </c>
      <c r="G262" s="147" t="s">
        <v>746</v>
      </c>
      <c r="H262" s="147" t="s">
        <v>747</v>
      </c>
      <c r="I262" s="147" t="s">
        <v>748</v>
      </c>
      <c r="J262" s="164">
        <v>80111620</v>
      </c>
      <c r="K262" s="147" t="s">
        <v>749</v>
      </c>
      <c r="L262" s="147" t="s">
        <v>83</v>
      </c>
      <c r="M262" s="147" t="s">
        <v>753</v>
      </c>
      <c r="N262" s="147" t="s">
        <v>91</v>
      </c>
      <c r="O262" s="147" t="s">
        <v>85</v>
      </c>
      <c r="P262" s="147" t="s">
        <v>86</v>
      </c>
      <c r="Q262" s="147">
        <v>10</v>
      </c>
      <c r="R262" s="147" t="s">
        <v>72</v>
      </c>
      <c r="S262" s="147" t="s">
        <v>478</v>
      </c>
      <c r="T262" s="147" t="s">
        <v>74</v>
      </c>
      <c r="U262" s="148">
        <v>100000000</v>
      </c>
      <c r="V262" s="148">
        <v>100000000</v>
      </c>
      <c r="W262" s="147" t="s">
        <v>75</v>
      </c>
      <c r="X262" s="147" t="s">
        <v>67</v>
      </c>
      <c r="Y262" s="147" t="s">
        <v>720</v>
      </c>
      <c r="Z262" s="147" t="s">
        <v>721</v>
      </c>
      <c r="AA262" s="147">
        <v>6012220601</v>
      </c>
      <c r="AB262" s="160" t="s">
        <v>722</v>
      </c>
      <c r="AC262" s="14"/>
      <c r="AD262" s="14"/>
      <c r="AE262" s="14">
        <v>100000000</v>
      </c>
      <c r="AF262" s="14"/>
      <c r="AG262" s="14"/>
      <c r="AH262" s="14">
        <v>2333333</v>
      </c>
      <c r="AI262" s="14"/>
      <c r="AJ262" s="14">
        <v>10000000</v>
      </c>
      <c r="AK262" s="14"/>
      <c r="AL262" s="14">
        <v>10000000</v>
      </c>
      <c r="AM262" s="14"/>
      <c r="AN262" s="14">
        <v>10000000</v>
      </c>
      <c r="AO262" s="14"/>
      <c r="AP262" s="14">
        <v>10000000</v>
      </c>
      <c r="AQ262" s="14"/>
      <c r="AR262" s="14">
        <v>10000000</v>
      </c>
      <c r="AS262" s="14"/>
      <c r="AT262" s="14">
        <v>10000000</v>
      </c>
      <c r="AU262" s="15"/>
      <c r="AV262" s="15">
        <v>10000000</v>
      </c>
      <c r="AW262" s="15"/>
      <c r="AX262" s="15">
        <v>10000000</v>
      </c>
      <c r="AY262" s="15"/>
      <c r="AZ262" s="15">
        <v>17666667</v>
      </c>
      <c r="BA262" s="17"/>
      <c r="BB262" s="17"/>
      <c r="BC262" s="18">
        <f t="shared" si="251"/>
        <v>100000000</v>
      </c>
      <c r="BD262" s="18">
        <f t="shared" si="252"/>
        <v>100000000</v>
      </c>
      <c r="BE262" s="19">
        <f t="shared" si="1"/>
        <v>0</v>
      </c>
      <c r="BF262" s="20">
        <f t="shared" si="2"/>
        <v>0</v>
      </c>
      <c r="BG262" s="20">
        <f t="shared" si="3"/>
        <v>0</v>
      </c>
    </row>
    <row r="263" spans="1:59" ht="14.25" customHeight="1">
      <c r="A263" s="147" t="s">
        <v>59</v>
      </c>
      <c r="B263" s="147" t="s">
        <v>712</v>
      </c>
      <c r="C263" s="166" t="s">
        <v>713</v>
      </c>
      <c r="D263" s="151" t="s">
        <v>62</v>
      </c>
      <c r="E263" s="151">
        <v>33</v>
      </c>
      <c r="F263" s="149" t="s">
        <v>754</v>
      </c>
      <c r="G263" s="147" t="s">
        <v>746</v>
      </c>
      <c r="H263" s="147" t="s">
        <v>747</v>
      </c>
      <c r="I263" s="147" t="s">
        <v>755</v>
      </c>
      <c r="J263" s="164">
        <v>93151509</v>
      </c>
      <c r="K263" s="147" t="s">
        <v>749</v>
      </c>
      <c r="L263" s="147" t="s">
        <v>495</v>
      </c>
      <c r="M263" s="147" t="s">
        <v>756</v>
      </c>
      <c r="N263" s="179" t="s">
        <v>91</v>
      </c>
      <c r="O263" s="179" t="s">
        <v>85</v>
      </c>
      <c r="P263" s="187" t="s">
        <v>86</v>
      </c>
      <c r="Q263" s="147">
        <v>12</v>
      </c>
      <c r="R263" s="147" t="s">
        <v>72</v>
      </c>
      <c r="S263" s="147" t="s">
        <v>227</v>
      </c>
      <c r="T263" s="147" t="s">
        <v>74</v>
      </c>
      <c r="U263" s="189">
        <v>218356415</v>
      </c>
      <c r="V263" s="177">
        <v>218356415</v>
      </c>
      <c r="W263" s="147" t="s">
        <v>75</v>
      </c>
      <c r="X263" s="147" t="s">
        <v>67</v>
      </c>
      <c r="Y263" s="147" t="s">
        <v>720</v>
      </c>
      <c r="Z263" s="147" t="s">
        <v>721</v>
      </c>
      <c r="AA263" s="147">
        <v>6012220601</v>
      </c>
      <c r="AB263" s="160" t="s">
        <v>722</v>
      </c>
      <c r="AC263" s="14"/>
      <c r="AD263" s="14"/>
      <c r="AE263" s="14"/>
      <c r="AF263" s="14"/>
      <c r="AG263" s="14">
        <v>220000000</v>
      </c>
      <c r="AH263" s="14"/>
      <c r="AI263" s="14"/>
      <c r="AJ263" s="14"/>
      <c r="AK263" s="14">
        <v>14500000</v>
      </c>
      <c r="AL263" s="14">
        <v>218356415</v>
      </c>
      <c r="AM263" s="14"/>
      <c r="AN263" s="14"/>
      <c r="AO263" s="14">
        <v>-16143585</v>
      </c>
      <c r="AP263" s="14"/>
      <c r="AQ263" s="14"/>
      <c r="AR263" s="14"/>
      <c r="AS263" s="14"/>
      <c r="AT263" s="14"/>
      <c r="AU263" s="25"/>
      <c r="AV263" s="25"/>
      <c r="AW263" s="25"/>
      <c r="AX263" s="25"/>
      <c r="AY263" s="28"/>
      <c r="AZ263" s="25"/>
      <c r="BA263" s="17"/>
      <c r="BB263" s="17"/>
      <c r="BC263" s="18">
        <f t="shared" si="251"/>
        <v>218356415</v>
      </c>
      <c r="BD263" s="18">
        <f t="shared" si="252"/>
        <v>218356415</v>
      </c>
      <c r="BE263" s="19">
        <f t="shared" si="1"/>
        <v>0</v>
      </c>
      <c r="BF263" s="20">
        <f t="shared" si="2"/>
        <v>0</v>
      </c>
      <c r="BG263" s="20">
        <f t="shared" si="3"/>
        <v>0</v>
      </c>
    </row>
    <row r="264" spans="1:59" ht="14.25" customHeight="1">
      <c r="A264" s="147" t="s">
        <v>59</v>
      </c>
      <c r="B264" s="147" t="s">
        <v>712</v>
      </c>
      <c r="C264" s="166" t="s">
        <v>713</v>
      </c>
      <c r="D264" s="151" t="s">
        <v>62</v>
      </c>
      <c r="E264" s="151">
        <v>33</v>
      </c>
      <c r="F264" s="149" t="s">
        <v>757</v>
      </c>
      <c r="G264" s="147" t="s">
        <v>746</v>
      </c>
      <c r="H264" s="147" t="s">
        <v>747</v>
      </c>
      <c r="I264" s="147" t="s">
        <v>755</v>
      </c>
      <c r="J264" s="164">
        <v>93151510</v>
      </c>
      <c r="K264" s="147" t="s">
        <v>749</v>
      </c>
      <c r="L264" s="147" t="s">
        <v>495</v>
      </c>
      <c r="M264" s="147" t="s">
        <v>758</v>
      </c>
      <c r="N264" s="179" t="s">
        <v>85</v>
      </c>
      <c r="O264" s="179" t="s">
        <v>86</v>
      </c>
      <c r="P264" s="179" t="s">
        <v>99</v>
      </c>
      <c r="Q264" s="147">
        <v>12</v>
      </c>
      <c r="R264" s="147" t="s">
        <v>72</v>
      </c>
      <c r="S264" s="147" t="s">
        <v>227</v>
      </c>
      <c r="T264" s="147" t="s">
        <v>74</v>
      </c>
      <c r="U264" s="148">
        <v>376833620</v>
      </c>
      <c r="V264" s="148">
        <v>376833620</v>
      </c>
      <c r="W264" s="147" t="s">
        <v>75</v>
      </c>
      <c r="X264" s="147" t="s">
        <v>67</v>
      </c>
      <c r="Y264" s="147" t="s">
        <v>720</v>
      </c>
      <c r="Z264" s="147" t="s">
        <v>721</v>
      </c>
      <c r="AA264" s="147">
        <v>6012220601</v>
      </c>
      <c r="AB264" s="160" t="s">
        <v>722</v>
      </c>
      <c r="AC264" s="14"/>
      <c r="AD264" s="14"/>
      <c r="AE264" s="14"/>
      <c r="AF264" s="14"/>
      <c r="AG264" s="14"/>
      <c r="AH264" s="14"/>
      <c r="AI264" s="14">
        <v>390000000</v>
      </c>
      <c r="AJ264" s="14"/>
      <c r="AK264" s="14">
        <v>22500000</v>
      </c>
      <c r="AL264" s="14"/>
      <c r="AM264" s="14"/>
      <c r="AN264" s="14">
        <v>376833619.75</v>
      </c>
      <c r="AO264" s="14">
        <v>-35666380.25</v>
      </c>
      <c r="AP264" s="14"/>
      <c r="AQ264" s="14"/>
      <c r="AR264" s="14"/>
      <c r="AS264" s="14"/>
      <c r="AT264" s="14"/>
      <c r="AU264" s="25"/>
      <c r="AV264" s="25"/>
      <c r="AW264" s="25"/>
      <c r="AX264" s="25"/>
      <c r="AY264" s="28"/>
      <c r="AZ264" s="28"/>
      <c r="BA264" s="17"/>
      <c r="BB264" s="17"/>
      <c r="BC264" s="18">
        <f t="shared" si="251"/>
        <v>376833619.75</v>
      </c>
      <c r="BD264" s="18">
        <f t="shared" si="252"/>
        <v>376833619.75</v>
      </c>
      <c r="BE264" s="19">
        <f t="shared" ref="BE264:BE518" si="253">BC264-BD264</f>
        <v>0</v>
      </c>
      <c r="BF264" s="20">
        <f t="shared" ref="BF264:BF518" si="254">V264-BC264</f>
        <v>0.25</v>
      </c>
      <c r="BG264" s="20">
        <f t="shared" ref="BG264:BG518" si="255">V264-BD264</f>
        <v>0.25</v>
      </c>
    </row>
    <row r="265" spans="1:59" ht="14.25" customHeight="1">
      <c r="A265" s="147" t="s">
        <v>59</v>
      </c>
      <c r="B265" s="147" t="s">
        <v>712</v>
      </c>
      <c r="C265" s="166" t="s">
        <v>713</v>
      </c>
      <c r="D265" s="151" t="s">
        <v>62</v>
      </c>
      <c r="E265" s="151">
        <v>33</v>
      </c>
      <c r="F265" s="149" t="s">
        <v>759</v>
      </c>
      <c r="G265" s="147" t="s">
        <v>746</v>
      </c>
      <c r="H265" s="147" t="s">
        <v>747</v>
      </c>
      <c r="I265" s="147" t="s">
        <v>755</v>
      </c>
      <c r="J265" s="164">
        <v>93151511</v>
      </c>
      <c r="K265" s="147" t="s">
        <v>749</v>
      </c>
      <c r="L265" s="147" t="s">
        <v>495</v>
      </c>
      <c r="M265" s="147" t="s">
        <v>760</v>
      </c>
      <c r="N265" s="179" t="s">
        <v>226</v>
      </c>
      <c r="O265" s="179" t="s">
        <v>615</v>
      </c>
      <c r="P265" s="179" t="s">
        <v>615</v>
      </c>
      <c r="Q265" s="147">
        <v>12</v>
      </c>
      <c r="R265" s="147" t="s">
        <v>72</v>
      </c>
      <c r="S265" s="147" t="s">
        <v>227</v>
      </c>
      <c r="T265" s="147" t="s">
        <v>74</v>
      </c>
      <c r="U265" s="148">
        <v>43809965</v>
      </c>
      <c r="V265" s="148">
        <v>43809965</v>
      </c>
      <c r="W265" s="147" t="s">
        <v>75</v>
      </c>
      <c r="X265" s="147" t="s">
        <v>67</v>
      </c>
      <c r="Y265" s="147" t="s">
        <v>720</v>
      </c>
      <c r="Z265" s="147" t="s">
        <v>721</v>
      </c>
      <c r="AA265" s="147">
        <v>6012220601</v>
      </c>
      <c r="AB265" s="160" t="s">
        <v>722</v>
      </c>
      <c r="AC265" s="14"/>
      <c r="AD265" s="14"/>
      <c r="AE265" s="14"/>
      <c r="AF265" s="14"/>
      <c r="AG265" s="14"/>
      <c r="AH265" s="14"/>
      <c r="AI265" s="14"/>
      <c r="AJ265" s="14"/>
      <c r="AK265" s="14"/>
      <c r="AL265" s="14"/>
      <c r="AM265" s="14"/>
      <c r="AN265" s="14"/>
      <c r="AO265" s="14"/>
      <c r="AP265" s="14"/>
      <c r="AQ265" s="14"/>
      <c r="AR265" s="14"/>
      <c r="AS265" s="14"/>
      <c r="AT265" s="14"/>
      <c r="AU265" s="30"/>
      <c r="AV265" s="30"/>
      <c r="AW265" s="29"/>
      <c r="AX265" s="30"/>
      <c r="AY265" s="30">
        <v>43809965</v>
      </c>
      <c r="AZ265" s="29">
        <v>43809965</v>
      </c>
      <c r="BA265" s="17"/>
      <c r="BB265" s="17"/>
      <c r="BC265" s="18">
        <f t="shared" si="251"/>
        <v>43809965</v>
      </c>
      <c r="BD265" s="18">
        <f t="shared" si="252"/>
        <v>43809965</v>
      </c>
      <c r="BE265" s="19">
        <f t="shared" si="253"/>
        <v>0</v>
      </c>
      <c r="BF265" s="20">
        <f t="shared" si="254"/>
        <v>0</v>
      </c>
      <c r="BG265" s="20">
        <f t="shared" si="255"/>
        <v>0</v>
      </c>
    </row>
    <row r="266" spans="1:59" ht="14.25" customHeight="1">
      <c r="A266" s="147" t="s">
        <v>59</v>
      </c>
      <c r="B266" s="147" t="s">
        <v>712</v>
      </c>
      <c r="C266" s="166" t="s">
        <v>713</v>
      </c>
      <c r="D266" s="151" t="s">
        <v>62</v>
      </c>
      <c r="E266" s="151">
        <v>45</v>
      </c>
      <c r="F266" s="149" t="s">
        <v>761</v>
      </c>
      <c r="G266" s="147" t="s">
        <v>746</v>
      </c>
      <c r="H266" s="147" t="s">
        <v>747</v>
      </c>
      <c r="I266" s="147" t="s">
        <v>755</v>
      </c>
      <c r="J266" s="164">
        <v>80101507</v>
      </c>
      <c r="K266" s="147" t="s">
        <v>749</v>
      </c>
      <c r="L266" s="147" t="s">
        <v>248</v>
      </c>
      <c r="M266" s="147" t="s">
        <v>762</v>
      </c>
      <c r="N266" s="147" t="s">
        <v>71</v>
      </c>
      <c r="O266" s="147" t="s">
        <v>180</v>
      </c>
      <c r="P266" s="147" t="s">
        <v>226</v>
      </c>
      <c r="Q266" s="147">
        <v>2.5</v>
      </c>
      <c r="R266" s="147" t="s">
        <v>72</v>
      </c>
      <c r="S266" s="147" t="s">
        <v>277</v>
      </c>
      <c r="T266" s="147" t="s">
        <v>74</v>
      </c>
      <c r="U266" s="148">
        <v>152000000</v>
      </c>
      <c r="V266" s="148">
        <v>152000000</v>
      </c>
      <c r="W266" s="147" t="s">
        <v>75</v>
      </c>
      <c r="X266" s="147" t="s">
        <v>67</v>
      </c>
      <c r="Y266" s="147" t="s">
        <v>720</v>
      </c>
      <c r="Z266" s="147" t="s">
        <v>721</v>
      </c>
      <c r="AA266" s="147">
        <v>6012220601</v>
      </c>
      <c r="AB266" s="160" t="s">
        <v>722</v>
      </c>
      <c r="AC266" s="14"/>
      <c r="AD266" s="14"/>
      <c r="AE266" s="14"/>
      <c r="AF266" s="14"/>
      <c r="AG266" s="14"/>
      <c r="AH266" s="14"/>
      <c r="AI266" s="14"/>
      <c r="AJ266" s="14"/>
      <c r="AK266" s="14"/>
      <c r="AL266" s="14"/>
      <c r="AM266" s="14"/>
      <c r="AN266" s="14"/>
      <c r="AO266" s="14"/>
      <c r="AP266" s="14"/>
      <c r="AQ266" s="14"/>
      <c r="AR266" s="14"/>
      <c r="AS266" s="14"/>
      <c r="AT266" s="14"/>
      <c r="AU266" s="28">
        <v>152000000</v>
      </c>
      <c r="AV266" s="25"/>
      <c r="AW266" s="25"/>
      <c r="AX266" s="28"/>
      <c r="AY266" s="25"/>
      <c r="AZ266" s="25">
        <v>152000000</v>
      </c>
      <c r="BA266" s="17"/>
      <c r="BB266" s="17"/>
      <c r="BC266" s="18">
        <f t="shared" si="251"/>
        <v>152000000</v>
      </c>
      <c r="BD266" s="18">
        <f t="shared" si="252"/>
        <v>152000000</v>
      </c>
      <c r="BE266" s="19">
        <f t="shared" si="253"/>
        <v>0</v>
      </c>
      <c r="BF266" s="20">
        <f t="shared" si="254"/>
        <v>0</v>
      </c>
      <c r="BG266" s="20">
        <f t="shared" si="255"/>
        <v>0</v>
      </c>
    </row>
    <row r="267" spans="1:59" ht="14.25" customHeight="1">
      <c r="A267" s="149" t="s">
        <v>59</v>
      </c>
      <c r="B267" s="149" t="s">
        <v>712</v>
      </c>
      <c r="C267" s="166" t="s">
        <v>713</v>
      </c>
      <c r="D267" s="166" t="s">
        <v>62</v>
      </c>
      <c r="E267" s="166">
        <v>45</v>
      </c>
      <c r="F267" s="149" t="s">
        <v>763</v>
      </c>
      <c r="G267" s="149" t="s">
        <v>746</v>
      </c>
      <c r="H267" s="149" t="s">
        <v>747</v>
      </c>
      <c r="I267" s="149" t="s">
        <v>764</v>
      </c>
      <c r="J267" s="164">
        <v>80101507</v>
      </c>
      <c r="K267" s="149" t="s">
        <v>749</v>
      </c>
      <c r="L267" s="147" t="s">
        <v>248</v>
      </c>
      <c r="M267" s="147" t="s">
        <v>765</v>
      </c>
      <c r="N267" s="147" t="s">
        <v>71</v>
      </c>
      <c r="O267" s="147" t="s">
        <v>180</v>
      </c>
      <c r="P267" s="147" t="s">
        <v>226</v>
      </c>
      <c r="Q267" s="147">
        <v>2.5</v>
      </c>
      <c r="R267" s="149" t="s">
        <v>72</v>
      </c>
      <c r="S267" s="147" t="s">
        <v>277</v>
      </c>
      <c r="T267" s="149" t="s">
        <v>74</v>
      </c>
      <c r="U267" s="175">
        <v>195000000</v>
      </c>
      <c r="V267" s="175">
        <v>195000000</v>
      </c>
      <c r="W267" s="149" t="s">
        <v>75</v>
      </c>
      <c r="X267" s="149" t="s">
        <v>67</v>
      </c>
      <c r="Y267" s="149" t="s">
        <v>720</v>
      </c>
      <c r="Z267" s="149" t="s">
        <v>721</v>
      </c>
      <c r="AA267" s="149">
        <v>6012220601</v>
      </c>
      <c r="AB267" s="172" t="s">
        <v>722</v>
      </c>
      <c r="AC267" s="35"/>
      <c r="AD267" s="35"/>
      <c r="AE267" s="35"/>
      <c r="AF267" s="35"/>
      <c r="AG267" s="35"/>
      <c r="AH267" s="35"/>
      <c r="AI267" s="35"/>
      <c r="AJ267" s="35"/>
      <c r="AK267" s="35"/>
      <c r="AL267" s="35"/>
      <c r="AM267" s="35"/>
      <c r="AN267" s="35"/>
      <c r="AO267" s="35"/>
      <c r="AP267" s="35"/>
      <c r="AQ267" s="35"/>
      <c r="AR267" s="35"/>
      <c r="AS267" s="35"/>
      <c r="AT267" s="35"/>
      <c r="AU267" s="27">
        <v>195000000</v>
      </c>
      <c r="AV267" s="21"/>
      <c r="AW267" s="21"/>
      <c r="AX267" s="21">
        <v>195000000</v>
      </c>
      <c r="AY267" s="21"/>
      <c r="AZ267" s="27"/>
      <c r="BA267" s="17"/>
      <c r="BB267" s="17"/>
      <c r="BC267" s="18">
        <f t="shared" si="251"/>
        <v>195000000</v>
      </c>
      <c r="BD267" s="18">
        <f t="shared" si="252"/>
        <v>195000000</v>
      </c>
      <c r="BE267" s="19">
        <f t="shared" si="253"/>
        <v>0</v>
      </c>
      <c r="BF267" s="20">
        <f t="shared" si="254"/>
        <v>0</v>
      </c>
      <c r="BG267" s="20">
        <f t="shared" si="255"/>
        <v>0</v>
      </c>
    </row>
    <row r="268" spans="1:59" ht="14.25" customHeight="1">
      <c r="A268" s="150" t="s">
        <v>59</v>
      </c>
      <c r="B268" s="150" t="s">
        <v>712</v>
      </c>
      <c r="C268" s="152" t="s">
        <v>713</v>
      </c>
      <c r="D268" s="152" t="s">
        <v>62</v>
      </c>
      <c r="E268" s="152" t="s">
        <v>114</v>
      </c>
      <c r="F268" s="150" t="s">
        <v>766</v>
      </c>
      <c r="G268" s="150" t="s">
        <v>715</v>
      </c>
      <c r="H268" s="150" t="s">
        <v>716</v>
      </c>
      <c r="I268" s="150" t="s">
        <v>717</v>
      </c>
      <c r="J268" s="181">
        <v>80111620</v>
      </c>
      <c r="K268" s="150" t="s">
        <v>718</v>
      </c>
      <c r="L268" s="150" t="s">
        <v>83</v>
      </c>
      <c r="M268" s="150" t="s">
        <v>767</v>
      </c>
      <c r="N268" s="182" t="s">
        <v>91</v>
      </c>
      <c r="O268" s="182" t="s">
        <v>91</v>
      </c>
      <c r="P268" s="182" t="s">
        <v>91</v>
      </c>
      <c r="Q268" s="150">
        <v>11.5</v>
      </c>
      <c r="R268" s="150" t="s">
        <v>72</v>
      </c>
      <c r="S268" s="150" t="s">
        <v>73</v>
      </c>
      <c r="T268" s="150" t="s">
        <v>74</v>
      </c>
      <c r="U268" s="183">
        <v>6970733</v>
      </c>
      <c r="V268" s="183">
        <v>6970733</v>
      </c>
      <c r="W268" s="150" t="s">
        <v>75</v>
      </c>
      <c r="X268" s="150" t="s">
        <v>67</v>
      </c>
      <c r="Y268" s="150" t="s">
        <v>206</v>
      </c>
      <c r="Z268" s="150" t="s">
        <v>207</v>
      </c>
      <c r="AA268" s="150">
        <v>6012220601</v>
      </c>
      <c r="AB268" s="184" t="s">
        <v>208</v>
      </c>
      <c r="AC268" s="35">
        <v>6970733</v>
      </c>
      <c r="AD268" s="35"/>
      <c r="AE268" s="35"/>
      <c r="AF268" s="35"/>
      <c r="AG268" s="35"/>
      <c r="AH268" s="35"/>
      <c r="AI268" s="35"/>
      <c r="AJ268" s="35"/>
      <c r="AK268" s="35"/>
      <c r="AL268" s="35"/>
      <c r="AM268" s="35"/>
      <c r="AN268" s="35"/>
      <c r="AO268" s="35"/>
      <c r="AP268" s="35"/>
      <c r="AQ268" s="35"/>
      <c r="AR268" s="35"/>
      <c r="AS268" s="35"/>
      <c r="AT268" s="35"/>
      <c r="AU268" s="42"/>
      <c r="AV268" s="42"/>
      <c r="AW268" s="42"/>
      <c r="AX268" s="42"/>
      <c r="AY268" s="42"/>
      <c r="AZ268" s="70">
        <v>6970733</v>
      </c>
      <c r="BA268" s="17"/>
      <c r="BB268" s="17"/>
      <c r="BC268" s="18">
        <f t="shared" si="251"/>
        <v>6970733</v>
      </c>
      <c r="BD268" s="18">
        <f t="shared" si="252"/>
        <v>6970733</v>
      </c>
      <c r="BE268" s="19">
        <f t="shared" si="253"/>
        <v>0</v>
      </c>
      <c r="BF268" s="20">
        <f t="shared" si="254"/>
        <v>0</v>
      </c>
      <c r="BG268" s="20">
        <f t="shared" si="255"/>
        <v>0</v>
      </c>
    </row>
    <row r="269" spans="1:59" ht="14.25" customHeight="1">
      <c r="A269" s="150" t="s">
        <v>59</v>
      </c>
      <c r="B269" s="150" t="s">
        <v>712</v>
      </c>
      <c r="C269" s="152" t="s">
        <v>713</v>
      </c>
      <c r="D269" s="152" t="s">
        <v>62</v>
      </c>
      <c r="E269" s="152" t="s">
        <v>114</v>
      </c>
      <c r="F269" s="150" t="s">
        <v>768</v>
      </c>
      <c r="G269" s="150" t="s">
        <v>715</v>
      </c>
      <c r="H269" s="150" t="s">
        <v>716</v>
      </c>
      <c r="I269" s="150" t="s">
        <v>717</v>
      </c>
      <c r="J269" s="181">
        <v>80111620</v>
      </c>
      <c r="K269" s="150" t="s">
        <v>718</v>
      </c>
      <c r="L269" s="150" t="s">
        <v>83</v>
      </c>
      <c r="M269" s="150" t="s">
        <v>769</v>
      </c>
      <c r="N269" s="182" t="s">
        <v>91</v>
      </c>
      <c r="O269" s="182" t="s">
        <v>91</v>
      </c>
      <c r="P269" s="182" t="s">
        <v>91</v>
      </c>
      <c r="Q269" s="150">
        <v>11.5</v>
      </c>
      <c r="R269" s="150" t="s">
        <v>72</v>
      </c>
      <c r="S269" s="150" t="s">
        <v>73</v>
      </c>
      <c r="T269" s="150" t="s">
        <v>74</v>
      </c>
      <c r="U269" s="183">
        <v>6970733</v>
      </c>
      <c r="V269" s="183">
        <v>6970733</v>
      </c>
      <c r="W269" s="150" t="s">
        <v>75</v>
      </c>
      <c r="X269" s="150" t="s">
        <v>67</v>
      </c>
      <c r="Y269" s="150" t="s">
        <v>206</v>
      </c>
      <c r="Z269" s="150" t="s">
        <v>207</v>
      </c>
      <c r="AA269" s="150">
        <v>6012220601</v>
      </c>
      <c r="AB269" s="184" t="s">
        <v>208</v>
      </c>
      <c r="AC269" s="35">
        <v>6970733</v>
      </c>
      <c r="AD269" s="35"/>
      <c r="AE269" s="35"/>
      <c r="AF269" s="35"/>
      <c r="AG269" s="35"/>
      <c r="AH269" s="35"/>
      <c r="AI269" s="35"/>
      <c r="AJ269" s="35"/>
      <c r="AK269" s="35"/>
      <c r="AL269" s="35"/>
      <c r="AM269" s="35"/>
      <c r="AN269" s="35"/>
      <c r="AO269" s="35"/>
      <c r="AP269" s="35"/>
      <c r="AQ269" s="35"/>
      <c r="AR269" s="35"/>
      <c r="AS269" s="35"/>
      <c r="AT269" s="35"/>
      <c r="AU269" s="42"/>
      <c r="AV269" s="42"/>
      <c r="AW269" s="42"/>
      <c r="AX269" s="42"/>
      <c r="AY269" s="42"/>
      <c r="AZ269" s="70">
        <v>6970733</v>
      </c>
      <c r="BA269" s="17"/>
      <c r="BB269" s="17"/>
      <c r="BC269" s="18">
        <f t="shared" si="251"/>
        <v>6970733</v>
      </c>
      <c r="BD269" s="18">
        <f t="shared" si="252"/>
        <v>6970733</v>
      </c>
      <c r="BE269" s="19">
        <f t="shared" si="253"/>
        <v>0</v>
      </c>
      <c r="BF269" s="20">
        <f t="shared" si="254"/>
        <v>0</v>
      </c>
      <c r="BG269" s="20">
        <f t="shared" si="255"/>
        <v>0</v>
      </c>
    </row>
    <row r="270" spans="1:59" ht="14.25" customHeight="1">
      <c r="A270" s="149" t="s">
        <v>59</v>
      </c>
      <c r="B270" s="149" t="s">
        <v>712</v>
      </c>
      <c r="C270" s="166" t="s">
        <v>713</v>
      </c>
      <c r="D270" s="166" t="s">
        <v>62</v>
      </c>
      <c r="E270" s="166">
        <v>32</v>
      </c>
      <c r="F270" s="149" t="s">
        <v>770</v>
      </c>
      <c r="G270" s="149" t="s">
        <v>715</v>
      </c>
      <c r="H270" s="149" t="s">
        <v>716</v>
      </c>
      <c r="I270" s="149" t="s">
        <v>737</v>
      </c>
      <c r="J270" s="173">
        <v>43233501</v>
      </c>
      <c r="K270" s="149" t="s">
        <v>718</v>
      </c>
      <c r="L270" s="149" t="s">
        <v>145</v>
      </c>
      <c r="M270" s="149" t="s">
        <v>771</v>
      </c>
      <c r="N270" s="149" t="s">
        <v>100</v>
      </c>
      <c r="O270" s="149" t="s">
        <v>142</v>
      </c>
      <c r="P270" s="149" t="s">
        <v>71</v>
      </c>
      <c r="Q270" s="149">
        <v>12</v>
      </c>
      <c r="R270" s="149" t="s">
        <v>72</v>
      </c>
      <c r="S270" s="149" t="s">
        <v>143</v>
      </c>
      <c r="T270" s="149" t="s">
        <v>74</v>
      </c>
      <c r="U270" s="175">
        <v>13600000</v>
      </c>
      <c r="V270" s="175">
        <v>13600000</v>
      </c>
      <c r="W270" s="149" t="s">
        <v>75</v>
      </c>
      <c r="X270" s="149" t="s">
        <v>67</v>
      </c>
      <c r="Y270" s="149" t="s">
        <v>772</v>
      </c>
      <c r="Z270" s="149" t="s">
        <v>773</v>
      </c>
      <c r="AA270" s="149">
        <v>6012220601</v>
      </c>
      <c r="AB270" s="172" t="s">
        <v>774</v>
      </c>
      <c r="AC270" s="35"/>
      <c r="AD270" s="35"/>
      <c r="AE270" s="35"/>
      <c r="AF270" s="35"/>
      <c r="AG270" s="35"/>
      <c r="AH270" s="35"/>
      <c r="AI270" s="35"/>
      <c r="AJ270" s="35"/>
      <c r="AK270" s="35"/>
      <c r="AL270" s="35"/>
      <c r="AM270" s="35"/>
      <c r="AN270" s="35"/>
      <c r="AO270" s="35"/>
      <c r="AP270" s="35"/>
      <c r="AQ270" s="35"/>
      <c r="AR270" s="35"/>
      <c r="AS270" s="35"/>
      <c r="AT270" s="35"/>
      <c r="AU270" s="27">
        <v>13600000</v>
      </c>
      <c r="AV270" s="27">
        <v>13600000</v>
      </c>
      <c r="AW270" s="21"/>
      <c r="AX270" s="21"/>
      <c r="AY270" s="21"/>
      <c r="AZ270" s="27"/>
      <c r="BA270" s="17"/>
      <c r="BB270" s="17"/>
      <c r="BC270" s="18">
        <f t="shared" si="251"/>
        <v>13600000</v>
      </c>
      <c r="BD270" s="18">
        <f t="shared" si="252"/>
        <v>13600000</v>
      </c>
      <c r="BE270" s="19">
        <f t="shared" si="253"/>
        <v>0</v>
      </c>
      <c r="BF270" s="20">
        <f t="shared" si="254"/>
        <v>0</v>
      </c>
      <c r="BG270" s="20">
        <f t="shared" si="255"/>
        <v>0</v>
      </c>
    </row>
    <row r="271" spans="1:59" ht="14.25" customHeight="1">
      <c r="A271" s="147" t="s">
        <v>59</v>
      </c>
      <c r="B271" s="147" t="s">
        <v>712</v>
      </c>
      <c r="C271" s="166" t="s">
        <v>713</v>
      </c>
      <c r="D271" s="151" t="s">
        <v>62</v>
      </c>
      <c r="E271" s="151" t="s">
        <v>114</v>
      </c>
      <c r="F271" s="149" t="s">
        <v>775</v>
      </c>
      <c r="G271" s="147" t="s">
        <v>715</v>
      </c>
      <c r="H271" s="147" t="s">
        <v>716</v>
      </c>
      <c r="I271" s="147" t="s">
        <v>737</v>
      </c>
      <c r="J271" s="164">
        <v>80111620</v>
      </c>
      <c r="K271" s="147" t="s">
        <v>718</v>
      </c>
      <c r="L271" s="147" t="s">
        <v>83</v>
      </c>
      <c r="M271" s="147" t="s">
        <v>776</v>
      </c>
      <c r="N271" s="147" t="s">
        <v>86</v>
      </c>
      <c r="O271" s="147" t="s">
        <v>86</v>
      </c>
      <c r="P271" s="147" t="s">
        <v>86</v>
      </c>
      <c r="Q271" s="147">
        <v>4.5</v>
      </c>
      <c r="R271" s="147" t="s">
        <v>72</v>
      </c>
      <c r="S271" s="147" t="s">
        <v>227</v>
      </c>
      <c r="T271" s="147" t="s">
        <v>74</v>
      </c>
      <c r="U271" s="148">
        <v>31426767</v>
      </c>
      <c r="V271" s="148">
        <v>31426767</v>
      </c>
      <c r="W271" s="147" t="s">
        <v>75</v>
      </c>
      <c r="X271" s="147" t="s">
        <v>67</v>
      </c>
      <c r="Y271" s="147" t="s">
        <v>720</v>
      </c>
      <c r="Z271" s="147" t="s">
        <v>721</v>
      </c>
      <c r="AA271" s="147">
        <v>6012220601</v>
      </c>
      <c r="AB271" s="160" t="s">
        <v>722</v>
      </c>
      <c r="AC271" s="14">
        <v>31333745</v>
      </c>
      <c r="AD271" s="14"/>
      <c r="AE271" s="14"/>
      <c r="AF271" s="14">
        <v>471184</v>
      </c>
      <c r="AG271" s="14"/>
      <c r="AH271" s="14">
        <v>7067762</v>
      </c>
      <c r="AI271" s="14"/>
      <c r="AJ271" s="14">
        <v>7067762</v>
      </c>
      <c r="AK271" s="14"/>
      <c r="AL271" s="14">
        <v>7067762</v>
      </c>
      <c r="AM271" s="14"/>
      <c r="AN271" s="14">
        <v>7067762</v>
      </c>
      <c r="AO271" s="14"/>
      <c r="AP271" s="14"/>
      <c r="AQ271" s="14"/>
      <c r="AR271" s="14"/>
      <c r="AS271" s="14"/>
      <c r="AT271" s="14"/>
      <c r="AU271" s="25"/>
      <c r="AV271" s="25"/>
      <c r="AW271" s="25"/>
      <c r="AX271" s="25"/>
      <c r="AY271" s="28">
        <v>93022</v>
      </c>
      <c r="AZ271" s="28">
        <v>2684535</v>
      </c>
      <c r="BA271" s="17"/>
      <c r="BB271" s="17"/>
      <c r="BC271" s="18">
        <f t="shared" si="251"/>
        <v>31426767</v>
      </c>
      <c r="BD271" s="18">
        <f t="shared" si="252"/>
        <v>31426767</v>
      </c>
      <c r="BE271" s="19">
        <f t="shared" si="253"/>
        <v>0</v>
      </c>
      <c r="BF271" s="20">
        <f t="shared" si="254"/>
        <v>0</v>
      </c>
      <c r="BG271" s="20">
        <f t="shared" si="255"/>
        <v>0</v>
      </c>
    </row>
    <row r="272" spans="1:59" ht="14.25" customHeight="1">
      <c r="A272" s="147" t="s">
        <v>59</v>
      </c>
      <c r="B272" s="147" t="s">
        <v>712</v>
      </c>
      <c r="C272" s="166" t="s">
        <v>713</v>
      </c>
      <c r="D272" s="151" t="s">
        <v>62</v>
      </c>
      <c r="E272" s="151">
        <v>5</v>
      </c>
      <c r="F272" s="149" t="s">
        <v>777</v>
      </c>
      <c r="G272" s="147" t="s">
        <v>778</v>
      </c>
      <c r="H272" s="147" t="s">
        <v>716</v>
      </c>
      <c r="I272" s="147" t="s">
        <v>528</v>
      </c>
      <c r="J272" s="164">
        <v>80111620</v>
      </c>
      <c r="K272" s="149" t="s">
        <v>718</v>
      </c>
      <c r="L272" s="147" t="s">
        <v>83</v>
      </c>
      <c r="M272" s="147" t="s">
        <v>779</v>
      </c>
      <c r="N272" s="147" t="s">
        <v>128</v>
      </c>
      <c r="O272" s="147" t="s">
        <v>128</v>
      </c>
      <c r="P272" s="149" t="s">
        <v>128</v>
      </c>
      <c r="Q272" s="147">
        <v>4.5</v>
      </c>
      <c r="R272" s="147" t="s">
        <v>72</v>
      </c>
      <c r="S272" s="147" t="s">
        <v>227</v>
      </c>
      <c r="T272" s="147" t="s">
        <v>74</v>
      </c>
      <c r="U272" s="148">
        <v>31823600</v>
      </c>
      <c r="V272" s="148">
        <v>31823600</v>
      </c>
      <c r="W272" s="147" t="s">
        <v>75</v>
      </c>
      <c r="X272" s="147" t="s">
        <v>67</v>
      </c>
      <c r="Y272" s="147" t="s">
        <v>720</v>
      </c>
      <c r="Z272" s="147" t="s">
        <v>721</v>
      </c>
      <c r="AA272" s="147">
        <v>6012220601</v>
      </c>
      <c r="AB272" s="160" t="s">
        <v>722</v>
      </c>
      <c r="AC272" s="14"/>
      <c r="AD272" s="14"/>
      <c r="AE272" s="14"/>
      <c r="AF272" s="14"/>
      <c r="AG272" s="14"/>
      <c r="AH272" s="14"/>
      <c r="AI272" s="14"/>
      <c r="AJ272" s="14"/>
      <c r="AK272" s="14">
        <v>31333745</v>
      </c>
      <c r="AL272" s="14"/>
      <c r="AM272" s="14"/>
      <c r="AN272" s="14"/>
      <c r="AO272" s="14"/>
      <c r="AP272" s="14">
        <v>7067762</v>
      </c>
      <c r="AQ272" s="14"/>
      <c r="AR272" s="14">
        <v>7067762</v>
      </c>
      <c r="AS272" s="14"/>
      <c r="AT272" s="14">
        <v>7067762</v>
      </c>
      <c r="AU272" s="15"/>
      <c r="AV272" s="15">
        <v>7067762</v>
      </c>
      <c r="AW272" s="15"/>
      <c r="AX272" s="15">
        <v>3552552</v>
      </c>
      <c r="AY272" s="15">
        <v>489855</v>
      </c>
      <c r="AZ272" s="15"/>
      <c r="BA272" s="17"/>
      <c r="BB272" s="17"/>
      <c r="BC272" s="18">
        <f t="shared" si="251"/>
        <v>31823600</v>
      </c>
      <c r="BD272" s="18">
        <f t="shared" si="252"/>
        <v>31823600</v>
      </c>
      <c r="BE272" s="19">
        <f t="shared" si="253"/>
        <v>0</v>
      </c>
      <c r="BF272" s="20">
        <f t="shared" si="254"/>
        <v>0</v>
      </c>
      <c r="BG272" s="20">
        <f t="shared" si="255"/>
        <v>0</v>
      </c>
    </row>
    <row r="273" spans="1:59" ht="14.25" customHeight="1">
      <c r="A273" s="147" t="s">
        <v>59</v>
      </c>
      <c r="B273" s="147" t="s">
        <v>712</v>
      </c>
      <c r="C273" s="166" t="s">
        <v>713</v>
      </c>
      <c r="D273" s="151" t="s">
        <v>62</v>
      </c>
      <c r="E273" s="151">
        <v>5</v>
      </c>
      <c r="F273" s="149" t="s">
        <v>780</v>
      </c>
      <c r="G273" s="147" t="s">
        <v>778</v>
      </c>
      <c r="H273" s="147" t="s">
        <v>716</v>
      </c>
      <c r="I273" s="149" t="s">
        <v>717</v>
      </c>
      <c r="J273" s="164">
        <v>80111620</v>
      </c>
      <c r="K273" s="149" t="s">
        <v>718</v>
      </c>
      <c r="L273" s="147" t="s">
        <v>83</v>
      </c>
      <c r="M273" s="147" t="s">
        <v>781</v>
      </c>
      <c r="N273" s="147" t="s">
        <v>85</v>
      </c>
      <c r="O273" s="147" t="s">
        <v>85</v>
      </c>
      <c r="P273" s="149" t="s">
        <v>85</v>
      </c>
      <c r="Q273" s="147">
        <v>10.5</v>
      </c>
      <c r="R273" s="147" t="s">
        <v>72</v>
      </c>
      <c r="S273" s="149" t="s">
        <v>73</v>
      </c>
      <c r="T273" s="147" t="s">
        <v>74</v>
      </c>
      <c r="U273" s="148">
        <v>22007467</v>
      </c>
      <c r="V273" s="148">
        <v>22007467</v>
      </c>
      <c r="W273" s="147" t="s">
        <v>75</v>
      </c>
      <c r="X273" s="147" t="s">
        <v>67</v>
      </c>
      <c r="Y273" s="147" t="s">
        <v>720</v>
      </c>
      <c r="Z273" s="147" t="s">
        <v>721</v>
      </c>
      <c r="AA273" s="147">
        <v>6012220601</v>
      </c>
      <c r="AB273" s="160" t="s">
        <v>722</v>
      </c>
      <c r="AC273" s="14"/>
      <c r="AD273" s="14"/>
      <c r="AE273" s="14">
        <v>22007467</v>
      </c>
      <c r="AF273" s="14"/>
      <c r="AG273" s="14"/>
      <c r="AH273" s="14"/>
      <c r="AI273" s="14"/>
      <c r="AJ273" s="14"/>
      <c r="AK273" s="14"/>
      <c r="AL273" s="14">
        <v>7000000</v>
      </c>
      <c r="AM273" s="14"/>
      <c r="AN273" s="14">
        <v>7000000</v>
      </c>
      <c r="AO273" s="14"/>
      <c r="AP273" s="14">
        <v>7000000</v>
      </c>
      <c r="AQ273" s="14"/>
      <c r="AR273" s="14"/>
      <c r="AS273" s="14"/>
      <c r="AT273" s="14"/>
      <c r="AU273" s="15"/>
      <c r="AV273" s="15"/>
      <c r="AW273" s="15"/>
      <c r="AX273" s="15"/>
      <c r="AY273" s="15"/>
      <c r="AZ273" s="15">
        <v>1007467</v>
      </c>
      <c r="BA273" s="17"/>
      <c r="BB273" s="17"/>
      <c r="BC273" s="18">
        <f t="shared" si="251"/>
        <v>22007467</v>
      </c>
      <c r="BD273" s="18">
        <f t="shared" si="252"/>
        <v>22007467</v>
      </c>
      <c r="BE273" s="19">
        <f t="shared" si="253"/>
        <v>0</v>
      </c>
      <c r="BF273" s="20">
        <f t="shared" si="254"/>
        <v>0</v>
      </c>
      <c r="BG273" s="20">
        <f t="shared" si="255"/>
        <v>0</v>
      </c>
    </row>
    <row r="274" spans="1:59" ht="14.25" customHeight="1">
      <c r="A274" s="147" t="s">
        <v>59</v>
      </c>
      <c r="B274" s="147" t="s">
        <v>712</v>
      </c>
      <c r="C274" s="166" t="s">
        <v>713</v>
      </c>
      <c r="D274" s="151" t="s">
        <v>62</v>
      </c>
      <c r="E274" s="151">
        <v>5</v>
      </c>
      <c r="F274" s="149" t="s">
        <v>782</v>
      </c>
      <c r="G274" s="147" t="s">
        <v>778</v>
      </c>
      <c r="H274" s="147" t="s">
        <v>716</v>
      </c>
      <c r="I274" s="147" t="s">
        <v>737</v>
      </c>
      <c r="J274" s="164">
        <v>80111620</v>
      </c>
      <c r="K274" s="149" t="s">
        <v>718</v>
      </c>
      <c r="L274" s="147" t="s">
        <v>83</v>
      </c>
      <c r="M274" s="147" t="s">
        <v>783</v>
      </c>
      <c r="N274" s="147" t="s">
        <v>85</v>
      </c>
      <c r="O274" s="147" t="s">
        <v>85</v>
      </c>
      <c r="P274" s="149" t="s">
        <v>85</v>
      </c>
      <c r="Q274" s="147">
        <v>10.5</v>
      </c>
      <c r="R274" s="147" t="s">
        <v>72</v>
      </c>
      <c r="S274" s="149" t="s">
        <v>73</v>
      </c>
      <c r="T274" s="147" t="s">
        <v>74</v>
      </c>
      <c r="U274" s="148">
        <v>9377347</v>
      </c>
      <c r="V274" s="148">
        <v>9377347</v>
      </c>
      <c r="W274" s="147" t="s">
        <v>75</v>
      </c>
      <c r="X274" s="147" t="s">
        <v>67</v>
      </c>
      <c r="Y274" s="147" t="s">
        <v>720</v>
      </c>
      <c r="Z274" s="147" t="s">
        <v>721</v>
      </c>
      <c r="AA274" s="147">
        <v>6012220601</v>
      </c>
      <c r="AB274" s="160" t="s">
        <v>722</v>
      </c>
      <c r="AC274" s="14"/>
      <c r="AD274" s="14"/>
      <c r="AE274" s="14">
        <v>9377347</v>
      </c>
      <c r="AF274" s="14"/>
      <c r="AG274" s="14"/>
      <c r="AH274" s="14">
        <v>700000</v>
      </c>
      <c r="AI274" s="14"/>
      <c r="AJ274" s="14">
        <v>7000000</v>
      </c>
      <c r="AK274" s="14"/>
      <c r="AL274" s="14"/>
      <c r="AM274" s="14"/>
      <c r="AN274" s="14"/>
      <c r="AO274" s="14"/>
      <c r="AP274" s="14"/>
      <c r="AQ274" s="14"/>
      <c r="AR274" s="14"/>
      <c r="AS274" s="14"/>
      <c r="AT274" s="14"/>
      <c r="AU274" s="15"/>
      <c r="AV274" s="15"/>
      <c r="AW274" s="15"/>
      <c r="AX274" s="15"/>
      <c r="AY274" s="15"/>
      <c r="AZ274" s="15">
        <v>1677347</v>
      </c>
      <c r="BA274" s="17"/>
      <c r="BB274" s="17"/>
      <c r="BC274" s="18">
        <f t="shared" si="251"/>
        <v>9377347</v>
      </c>
      <c r="BD274" s="18">
        <f t="shared" si="252"/>
        <v>9377347</v>
      </c>
      <c r="BE274" s="19">
        <f t="shared" si="253"/>
        <v>0</v>
      </c>
      <c r="BF274" s="20">
        <f t="shared" si="254"/>
        <v>0</v>
      </c>
      <c r="BG274" s="20">
        <f t="shared" si="255"/>
        <v>0</v>
      </c>
    </row>
    <row r="275" spans="1:59" ht="14.25" customHeight="1">
      <c r="A275" s="147" t="s">
        <v>59</v>
      </c>
      <c r="B275" s="147" t="s">
        <v>712</v>
      </c>
      <c r="C275" s="166" t="s">
        <v>713</v>
      </c>
      <c r="D275" s="151" t="s">
        <v>62</v>
      </c>
      <c r="E275" s="151">
        <v>16</v>
      </c>
      <c r="F275" s="149" t="s">
        <v>784</v>
      </c>
      <c r="G275" s="147" t="s">
        <v>778</v>
      </c>
      <c r="H275" s="147" t="s">
        <v>716</v>
      </c>
      <c r="I275" s="147" t="s">
        <v>717</v>
      </c>
      <c r="J275" s="164">
        <v>80111620</v>
      </c>
      <c r="K275" s="149" t="s">
        <v>718</v>
      </c>
      <c r="L275" s="147" t="s">
        <v>83</v>
      </c>
      <c r="M275" s="147" t="s">
        <v>785</v>
      </c>
      <c r="N275" s="147" t="s">
        <v>99</v>
      </c>
      <c r="O275" s="147" t="s">
        <v>127</v>
      </c>
      <c r="P275" s="149" t="s">
        <v>128</v>
      </c>
      <c r="Q275" s="147">
        <v>7</v>
      </c>
      <c r="R275" s="147" t="s">
        <v>72</v>
      </c>
      <c r="S275" s="149" t="s">
        <v>73</v>
      </c>
      <c r="T275" s="147" t="s">
        <v>74</v>
      </c>
      <c r="U275" s="189">
        <v>46148900</v>
      </c>
      <c r="V275" s="148">
        <v>46148900</v>
      </c>
      <c r="W275" s="147" t="s">
        <v>75</v>
      </c>
      <c r="X275" s="147" t="s">
        <v>67</v>
      </c>
      <c r="Y275" s="147" t="s">
        <v>720</v>
      </c>
      <c r="Z275" s="147" t="s">
        <v>721</v>
      </c>
      <c r="AA275" s="147">
        <v>6012220601</v>
      </c>
      <c r="AB275" s="160" t="s">
        <v>722</v>
      </c>
      <c r="AC275" s="14"/>
      <c r="AD275" s="14"/>
      <c r="AE275" s="14"/>
      <c r="AF275" s="14"/>
      <c r="AG275" s="14"/>
      <c r="AH275" s="14"/>
      <c r="AI275" s="14"/>
      <c r="AJ275" s="14"/>
      <c r="AK275" s="14">
        <v>46148900</v>
      </c>
      <c r="AL275" s="14"/>
      <c r="AM275" s="14"/>
      <c r="AN275" s="14">
        <v>439513</v>
      </c>
      <c r="AO275" s="14"/>
      <c r="AP275" s="14">
        <v>6592700</v>
      </c>
      <c r="AQ275" s="14"/>
      <c r="AR275" s="14">
        <v>6592700</v>
      </c>
      <c r="AS275" s="14"/>
      <c r="AT275" s="14">
        <v>6592700</v>
      </c>
      <c r="AU275" s="15"/>
      <c r="AV275" s="15">
        <v>6592700</v>
      </c>
      <c r="AW275" s="15"/>
      <c r="AX275" s="15">
        <v>6592700</v>
      </c>
      <c r="AY275" s="15"/>
      <c r="AZ275" s="15">
        <v>12745887</v>
      </c>
      <c r="BA275" s="17"/>
      <c r="BB275" s="17"/>
      <c r="BC275" s="18">
        <f t="shared" si="251"/>
        <v>46148900</v>
      </c>
      <c r="BD275" s="18">
        <f t="shared" si="252"/>
        <v>46148900</v>
      </c>
      <c r="BE275" s="19">
        <f t="shared" si="253"/>
        <v>0</v>
      </c>
      <c r="BF275" s="20">
        <f t="shared" si="254"/>
        <v>0</v>
      </c>
      <c r="BG275" s="20">
        <f t="shared" si="255"/>
        <v>0</v>
      </c>
    </row>
    <row r="276" spans="1:59" ht="14.25" customHeight="1">
      <c r="A276" s="147" t="s">
        <v>59</v>
      </c>
      <c r="B276" s="147" t="s">
        <v>712</v>
      </c>
      <c r="C276" s="166" t="s">
        <v>713</v>
      </c>
      <c r="D276" s="151" t="s">
        <v>62</v>
      </c>
      <c r="E276" s="151">
        <v>18</v>
      </c>
      <c r="F276" s="149" t="s">
        <v>786</v>
      </c>
      <c r="G276" s="147" t="s">
        <v>778</v>
      </c>
      <c r="H276" s="147" t="s">
        <v>716</v>
      </c>
      <c r="I276" s="147" t="s">
        <v>528</v>
      </c>
      <c r="J276" s="164">
        <v>81121503</v>
      </c>
      <c r="K276" s="149" t="s">
        <v>718</v>
      </c>
      <c r="L276" s="147" t="s">
        <v>750</v>
      </c>
      <c r="M276" s="147" t="s">
        <v>787</v>
      </c>
      <c r="N276" s="147" t="s">
        <v>99</v>
      </c>
      <c r="O276" s="147" t="s">
        <v>128</v>
      </c>
      <c r="P276" s="149" t="s">
        <v>128</v>
      </c>
      <c r="Q276" s="147">
        <v>6</v>
      </c>
      <c r="R276" s="147" t="s">
        <v>72</v>
      </c>
      <c r="S276" s="149" t="s">
        <v>788</v>
      </c>
      <c r="T276" s="147" t="s">
        <v>74</v>
      </c>
      <c r="U276" s="148">
        <v>9835415</v>
      </c>
      <c r="V276" s="189">
        <v>9835415</v>
      </c>
      <c r="W276" s="147" t="s">
        <v>75</v>
      </c>
      <c r="X276" s="147" t="s">
        <v>67</v>
      </c>
      <c r="Y276" s="147" t="s">
        <v>720</v>
      </c>
      <c r="Z276" s="147" t="s">
        <v>721</v>
      </c>
      <c r="AA276" s="147">
        <v>6012220601</v>
      </c>
      <c r="AB276" s="160" t="s">
        <v>722</v>
      </c>
      <c r="AC276" s="14"/>
      <c r="AD276" s="14"/>
      <c r="AE276" s="14"/>
      <c r="AF276" s="14"/>
      <c r="AG276" s="14"/>
      <c r="AH276" s="14"/>
      <c r="AI276" s="14"/>
      <c r="AJ276" s="14"/>
      <c r="AK276" s="14"/>
      <c r="AL276" s="14"/>
      <c r="AM276" s="14"/>
      <c r="AN276" s="14"/>
      <c r="AO276" s="14"/>
      <c r="AP276" s="14"/>
      <c r="AQ276" s="14"/>
      <c r="AR276" s="14"/>
      <c r="AS276" s="14"/>
      <c r="AT276" s="14"/>
      <c r="AU276" s="15">
        <v>9835415</v>
      </c>
      <c r="AV276" s="15"/>
      <c r="AW276" s="15"/>
      <c r="AX276" s="15"/>
      <c r="AY276" s="15"/>
      <c r="AZ276" s="75">
        <v>9835415</v>
      </c>
      <c r="BA276" s="17"/>
      <c r="BB276" s="17"/>
      <c r="BC276" s="18">
        <f t="shared" si="251"/>
        <v>9835415</v>
      </c>
      <c r="BD276" s="18">
        <f t="shared" si="252"/>
        <v>9835415</v>
      </c>
      <c r="BE276" s="19">
        <f t="shared" si="253"/>
        <v>0</v>
      </c>
      <c r="BF276" s="20">
        <f t="shared" si="254"/>
        <v>0</v>
      </c>
      <c r="BG276" s="20">
        <f t="shared" si="255"/>
        <v>0</v>
      </c>
    </row>
    <row r="277" spans="1:59" ht="14.25" customHeight="1">
      <c r="A277" s="147" t="s">
        <v>59</v>
      </c>
      <c r="B277" s="147" t="s">
        <v>712</v>
      </c>
      <c r="C277" s="166" t="s">
        <v>713</v>
      </c>
      <c r="D277" s="151" t="s">
        <v>62</v>
      </c>
      <c r="E277" s="151">
        <v>33</v>
      </c>
      <c r="F277" s="149" t="s">
        <v>789</v>
      </c>
      <c r="G277" s="147" t="s">
        <v>746</v>
      </c>
      <c r="H277" s="147" t="s">
        <v>747</v>
      </c>
      <c r="I277" s="147" t="s">
        <v>755</v>
      </c>
      <c r="J277" s="164">
        <v>55101519</v>
      </c>
      <c r="K277" s="147" t="s">
        <v>749</v>
      </c>
      <c r="L277" s="147" t="s">
        <v>131</v>
      </c>
      <c r="M277" s="165" t="s">
        <v>790</v>
      </c>
      <c r="N277" s="147" t="s">
        <v>91</v>
      </c>
      <c r="O277" s="147" t="s">
        <v>91</v>
      </c>
      <c r="P277" s="149" t="s">
        <v>85</v>
      </c>
      <c r="Q277" s="147">
        <v>10</v>
      </c>
      <c r="R277" s="147" t="s">
        <v>72</v>
      </c>
      <c r="S277" s="149" t="s">
        <v>156</v>
      </c>
      <c r="T277" s="147" t="s">
        <v>74</v>
      </c>
      <c r="U277" s="148">
        <v>9000000</v>
      </c>
      <c r="V277" s="148">
        <v>9000000</v>
      </c>
      <c r="W277" s="147" t="s">
        <v>75</v>
      </c>
      <c r="X277" s="147" t="s">
        <v>67</v>
      </c>
      <c r="Y277" s="147" t="s">
        <v>791</v>
      </c>
      <c r="Z277" s="147" t="s">
        <v>721</v>
      </c>
      <c r="AA277" s="147">
        <v>6012220601</v>
      </c>
      <c r="AB277" s="160" t="s">
        <v>792</v>
      </c>
      <c r="AC277" s="14"/>
      <c r="AD277" s="14"/>
      <c r="AE277" s="14"/>
      <c r="AF277" s="14"/>
      <c r="AG277" s="14"/>
      <c r="AH277" s="14"/>
      <c r="AI277" s="14"/>
      <c r="AJ277" s="14"/>
      <c r="AK277" s="14"/>
      <c r="AL277" s="14"/>
      <c r="AM277" s="14"/>
      <c r="AN277" s="14"/>
      <c r="AO277" s="14"/>
      <c r="AP277" s="14"/>
      <c r="AQ277" s="14">
        <v>9000000</v>
      </c>
      <c r="AR277" s="14"/>
      <c r="AS277" s="14"/>
      <c r="AT277" s="14"/>
      <c r="AU277" s="15"/>
      <c r="AV277" s="15"/>
      <c r="AW277" s="15"/>
      <c r="AX277" s="15"/>
      <c r="AY277" s="15"/>
      <c r="AZ277" s="15">
        <v>9000000</v>
      </c>
      <c r="BA277" s="17"/>
      <c r="BB277" s="17"/>
      <c r="BC277" s="18">
        <f t="shared" si="251"/>
        <v>9000000</v>
      </c>
      <c r="BD277" s="18">
        <f t="shared" si="252"/>
        <v>9000000</v>
      </c>
      <c r="BE277" s="19">
        <f t="shared" si="253"/>
        <v>0</v>
      </c>
      <c r="BF277" s="20">
        <f t="shared" si="254"/>
        <v>0</v>
      </c>
      <c r="BG277" s="20">
        <f t="shared" si="255"/>
        <v>0</v>
      </c>
    </row>
    <row r="278" spans="1:59" ht="14.25" customHeight="1">
      <c r="A278" s="147" t="s">
        <v>59</v>
      </c>
      <c r="B278" s="147" t="s">
        <v>712</v>
      </c>
      <c r="C278" s="166" t="s">
        <v>713</v>
      </c>
      <c r="D278" s="151" t="s">
        <v>62</v>
      </c>
      <c r="E278" s="151">
        <v>33</v>
      </c>
      <c r="F278" s="149" t="s">
        <v>793</v>
      </c>
      <c r="G278" s="147" t="s">
        <v>778</v>
      </c>
      <c r="H278" s="147" t="s">
        <v>716</v>
      </c>
      <c r="I278" s="147" t="s">
        <v>717</v>
      </c>
      <c r="J278" s="164">
        <v>43233501</v>
      </c>
      <c r="K278" s="149" t="s">
        <v>718</v>
      </c>
      <c r="L278" s="147" t="s">
        <v>333</v>
      </c>
      <c r="M278" s="147" t="s">
        <v>794</v>
      </c>
      <c r="N278" s="147" t="s">
        <v>100</v>
      </c>
      <c r="O278" s="147" t="s">
        <v>142</v>
      </c>
      <c r="P278" s="149" t="s">
        <v>71</v>
      </c>
      <c r="Q278" s="147">
        <v>12</v>
      </c>
      <c r="R278" s="147" t="s">
        <v>72</v>
      </c>
      <c r="S278" s="149" t="s">
        <v>143</v>
      </c>
      <c r="T278" s="147" t="s">
        <v>74</v>
      </c>
      <c r="U278" s="148">
        <v>1400000</v>
      </c>
      <c r="V278" s="148">
        <v>1400000</v>
      </c>
      <c r="W278" s="147" t="s">
        <v>75</v>
      </c>
      <c r="X278" s="147" t="s">
        <v>67</v>
      </c>
      <c r="Y278" s="147" t="s">
        <v>147</v>
      </c>
      <c r="Z278" s="147" t="s">
        <v>795</v>
      </c>
      <c r="AA278" s="147">
        <v>6012220601</v>
      </c>
      <c r="AB278" s="160" t="s">
        <v>149</v>
      </c>
      <c r="AC278" s="14"/>
      <c r="AD278" s="14"/>
      <c r="AE278" s="14"/>
      <c r="AF278" s="14"/>
      <c r="AG278" s="14"/>
      <c r="AH278" s="14"/>
      <c r="AI278" s="14"/>
      <c r="AJ278" s="14"/>
      <c r="AK278" s="14"/>
      <c r="AL278" s="14"/>
      <c r="AM278" s="14"/>
      <c r="AN278" s="14"/>
      <c r="AO278" s="14"/>
      <c r="AP278" s="14"/>
      <c r="AQ278" s="14"/>
      <c r="AR278" s="14"/>
      <c r="AS278" s="14"/>
      <c r="AT278" s="14"/>
      <c r="AU278" s="15">
        <v>1400000</v>
      </c>
      <c r="AV278" s="15"/>
      <c r="AW278" s="15"/>
      <c r="AX278" s="15"/>
      <c r="AY278" s="15"/>
      <c r="AZ278" s="15">
        <v>1400000</v>
      </c>
      <c r="BA278" s="17"/>
      <c r="BB278" s="17"/>
      <c r="BC278" s="18">
        <f t="shared" si="251"/>
        <v>1400000</v>
      </c>
      <c r="BD278" s="18">
        <f t="shared" si="252"/>
        <v>1400000</v>
      </c>
      <c r="BE278" s="19">
        <f t="shared" si="253"/>
        <v>0</v>
      </c>
      <c r="BF278" s="20">
        <f t="shared" si="254"/>
        <v>0</v>
      </c>
      <c r="BG278" s="20">
        <f t="shared" si="255"/>
        <v>0</v>
      </c>
    </row>
    <row r="279" spans="1:59" ht="14.25" customHeight="1">
      <c r="A279" s="147" t="s">
        <v>59</v>
      </c>
      <c r="B279" s="147" t="s">
        <v>712</v>
      </c>
      <c r="C279" s="166" t="s">
        <v>713</v>
      </c>
      <c r="D279" s="151" t="s">
        <v>62</v>
      </c>
      <c r="E279" s="151">
        <v>37</v>
      </c>
      <c r="F279" s="149" t="s">
        <v>796</v>
      </c>
      <c r="G279" s="147" t="s">
        <v>746</v>
      </c>
      <c r="H279" s="149" t="s">
        <v>747</v>
      </c>
      <c r="I279" s="149" t="s">
        <v>764</v>
      </c>
      <c r="J279" s="164">
        <v>80111620</v>
      </c>
      <c r="K279" s="147" t="s">
        <v>749</v>
      </c>
      <c r="L279" s="147" t="s">
        <v>83</v>
      </c>
      <c r="M279" s="147" t="s">
        <v>797</v>
      </c>
      <c r="N279" s="147" t="s">
        <v>142</v>
      </c>
      <c r="O279" s="147" t="s">
        <v>142</v>
      </c>
      <c r="P279" s="147" t="s">
        <v>142</v>
      </c>
      <c r="Q279" s="147">
        <v>5</v>
      </c>
      <c r="R279" s="147" t="s">
        <v>72</v>
      </c>
      <c r="S279" s="149" t="s">
        <v>156</v>
      </c>
      <c r="T279" s="147" t="s">
        <v>74</v>
      </c>
      <c r="U279" s="148">
        <v>45000000</v>
      </c>
      <c r="V279" s="148">
        <v>45000000</v>
      </c>
      <c r="W279" s="147" t="s">
        <v>75</v>
      </c>
      <c r="X279" s="147" t="s">
        <v>67</v>
      </c>
      <c r="Y279" s="147" t="s">
        <v>798</v>
      </c>
      <c r="Z279" s="147" t="s">
        <v>799</v>
      </c>
      <c r="AA279" s="147">
        <v>6012220601</v>
      </c>
      <c r="AB279" s="160" t="s">
        <v>149</v>
      </c>
      <c r="AC279" s="14"/>
      <c r="AD279" s="14"/>
      <c r="AE279" s="14"/>
      <c r="AF279" s="14"/>
      <c r="AG279" s="14"/>
      <c r="AH279" s="14"/>
      <c r="AI279" s="14"/>
      <c r="AJ279" s="14"/>
      <c r="AK279" s="14"/>
      <c r="AL279" s="14"/>
      <c r="AM279" s="14"/>
      <c r="AN279" s="14"/>
      <c r="AO279" s="14"/>
      <c r="AP279" s="14"/>
      <c r="AQ279" s="14"/>
      <c r="AR279" s="14"/>
      <c r="AS279" s="14"/>
      <c r="AT279" s="14"/>
      <c r="AU279" s="15">
        <v>39000000</v>
      </c>
      <c r="AV279" s="15">
        <v>2166667</v>
      </c>
      <c r="AW279" s="15"/>
      <c r="AX279" s="15">
        <v>13000000</v>
      </c>
      <c r="AY279" s="15"/>
      <c r="AZ279" s="15">
        <f>13000000+10833333</f>
        <v>23833333</v>
      </c>
      <c r="BA279" s="33">
        <v>6000000</v>
      </c>
      <c r="BB279" s="33">
        <v>6000000</v>
      </c>
      <c r="BC279" s="18">
        <f t="shared" si="251"/>
        <v>45000000</v>
      </c>
      <c r="BD279" s="18">
        <f t="shared" si="252"/>
        <v>45000000</v>
      </c>
      <c r="BE279" s="19">
        <f t="shared" si="253"/>
        <v>0</v>
      </c>
      <c r="BF279" s="20">
        <f t="shared" si="254"/>
        <v>0</v>
      </c>
      <c r="BG279" s="20">
        <f t="shared" si="255"/>
        <v>0</v>
      </c>
    </row>
    <row r="280" spans="1:59" ht="14.25" customHeight="1">
      <c r="A280" s="147" t="s">
        <v>59</v>
      </c>
      <c r="B280" s="147" t="s">
        <v>712</v>
      </c>
      <c r="C280" s="166" t="s">
        <v>713</v>
      </c>
      <c r="D280" s="151" t="s">
        <v>62</v>
      </c>
      <c r="E280" s="151">
        <v>45</v>
      </c>
      <c r="F280" s="149" t="s">
        <v>800</v>
      </c>
      <c r="G280" s="147" t="s">
        <v>778</v>
      </c>
      <c r="H280" s="147" t="s">
        <v>716</v>
      </c>
      <c r="I280" s="147" t="s">
        <v>528</v>
      </c>
      <c r="J280" s="164">
        <v>80111620</v>
      </c>
      <c r="K280" s="149" t="s">
        <v>718</v>
      </c>
      <c r="L280" s="147" t="s">
        <v>83</v>
      </c>
      <c r="M280" s="147" t="s">
        <v>801</v>
      </c>
      <c r="N280" s="147" t="s">
        <v>71</v>
      </c>
      <c r="O280" s="147" t="s">
        <v>71</v>
      </c>
      <c r="P280" s="147" t="s">
        <v>71</v>
      </c>
      <c r="Q280" s="147">
        <v>3</v>
      </c>
      <c r="R280" s="147" t="s">
        <v>72</v>
      </c>
      <c r="S280" s="149" t="s">
        <v>156</v>
      </c>
      <c r="T280" s="147" t="s">
        <v>74</v>
      </c>
      <c r="U280" s="148">
        <v>10000000</v>
      </c>
      <c r="V280" s="148">
        <v>10000000</v>
      </c>
      <c r="W280" s="147" t="s">
        <v>75</v>
      </c>
      <c r="X280" s="147" t="s">
        <v>67</v>
      </c>
      <c r="Y280" s="147" t="s">
        <v>802</v>
      </c>
      <c r="Z280" s="147" t="s">
        <v>799</v>
      </c>
      <c r="AA280" s="147">
        <v>6012220601</v>
      </c>
      <c r="AB280" s="160" t="s">
        <v>803</v>
      </c>
      <c r="AC280" s="14"/>
      <c r="AD280" s="14"/>
      <c r="AE280" s="14"/>
      <c r="AF280" s="14"/>
      <c r="AG280" s="14"/>
      <c r="AH280" s="14"/>
      <c r="AI280" s="14"/>
      <c r="AJ280" s="14"/>
      <c r="AK280" s="14"/>
      <c r="AL280" s="14"/>
      <c r="AM280" s="14"/>
      <c r="AN280" s="14"/>
      <c r="AO280" s="14"/>
      <c r="AP280" s="14"/>
      <c r="AQ280" s="14"/>
      <c r="AR280" s="14"/>
      <c r="AS280" s="14"/>
      <c r="AT280" s="14"/>
      <c r="AU280" s="15">
        <v>10000000</v>
      </c>
      <c r="AV280" s="15"/>
      <c r="AW280" s="15"/>
      <c r="AX280" s="15">
        <v>5000000</v>
      </c>
      <c r="AY280" s="15"/>
      <c r="AZ280" s="15">
        <v>5000000</v>
      </c>
      <c r="BA280" s="17"/>
      <c r="BB280" s="17"/>
      <c r="BC280" s="18">
        <f t="shared" si="251"/>
        <v>10000000</v>
      </c>
      <c r="BD280" s="18">
        <f t="shared" si="252"/>
        <v>10000000</v>
      </c>
      <c r="BE280" s="19">
        <f t="shared" si="253"/>
        <v>0</v>
      </c>
      <c r="BF280" s="20">
        <f t="shared" si="254"/>
        <v>0</v>
      </c>
      <c r="BG280" s="20">
        <f t="shared" si="255"/>
        <v>0</v>
      </c>
    </row>
    <row r="281" spans="1:59" ht="14.25" customHeight="1">
      <c r="A281" s="147" t="s">
        <v>59</v>
      </c>
      <c r="B281" s="147" t="s">
        <v>804</v>
      </c>
      <c r="C281" s="151" t="s">
        <v>805</v>
      </c>
      <c r="D281" s="151" t="s">
        <v>62</v>
      </c>
      <c r="E281" s="151">
        <v>35</v>
      </c>
      <c r="F281" s="149" t="s">
        <v>806</v>
      </c>
      <c r="G281" s="147" t="s">
        <v>807</v>
      </c>
      <c r="H281" s="147" t="s">
        <v>808</v>
      </c>
      <c r="I281" s="147" t="s">
        <v>296</v>
      </c>
      <c r="J281" s="164">
        <v>80111620</v>
      </c>
      <c r="K281" s="147" t="s">
        <v>809</v>
      </c>
      <c r="L281" s="147" t="s">
        <v>83</v>
      </c>
      <c r="M281" s="147" t="s">
        <v>810</v>
      </c>
      <c r="N281" s="147" t="s">
        <v>85</v>
      </c>
      <c r="O281" s="147" t="s">
        <v>85</v>
      </c>
      <c r="P281" s="149" t="s">
        <v>85</v>
      </c>
      <c r="Q281" s="147">
        <v>10.5</v>
      </c>
      <c r="R281" s="147" t="s">
        <v>72</v>
      </c>
      <c r="S281" s="147" t="s">
        <v>73</v>
      </c>
      <c r="T281" s="147" t="s">
        <v>74</v>
      </c>
      <c r="U281" s="192">
        <v>72327750</v>
      </c>
      <c r="V281" s="148">
        <v>72327750</v>
      </c>
      <c r="W281" s="147" t="s">
        <v>75</v>
      </c>
      <c r="X281" s="147" t="s">
        <v>67</v>
      </c>
      <c r="Y281" s="147" t="s">
        <v>811</v>
      </c>
      <c r="Z281" s="147" t="s">
        <v>812</v>
      </c>
      <c r="AA281" s="147">
        <v>6012220601</v>
      </c>
      <c r="AB281" s="160" t="s">
        <v>813</v>
      </c>
      <c r="AC281" s="14"/>
      <c r="AD281" s="14"/>
      <c r="AE281" s="14">
        <v>68250000</v>
      </c>
      <c r="AF281" s="14"/>
      <c r="AG281" s="14"/>
      <c r="AH281" s="62">
        <v>3683333</v>
      </c>
      <c r="AI281" s="14"/>
      <c r="AJ281" s="14">
        <v>6500000</v>
      </c>
      <c r="AK281" s="14"/>
      <c r="AL281" s="14">
        <v>6500000</v>
      </c>
      <c r="AM281" s="14"/>
      <c r="AN281" s="14">
        <v>6500000</v>
      </c>
      <c r="AO281" s="14"/>
      <c r="AP281" s="14">
        <v>6500000</v>
      </c>
      <c r="AQ281" s="14"/>
      <c r="AR281" s="14">
        <v>6500000</v>
      </c>
      <c r="AS281" s="14"/>
      <c r="AT281" s="14">
        <v>6500000</v>
      </c>
      <c r="AU281" s="15"/>
      <c r="AV281" s="15">
        <v>6500000</v>
      </c>
      <c r="AW281" s="15"/>
      <c r="AX281" s="15">
        <v>6500000</v>
      </c>
      <c r="AY281" s="15"/>
      <c r="AZ281" s="15">
        <v>13000000</v>
      </c>
      <c r="BA281" s="17">
        <v>4077750</v>
      </c>
      <c r="BB281" s="33">
        <v>3644417</v>
      </c>
      <c r="BC281" s="18">
        <f t="shared" si="251"/>
        <v>72327750</v>
      </c>
      <c r="BD281" s="18">
        <f t="shared" si="252"/>
        <v>72327750</v>
      </c>
      <c r="BE281" s="19">
        <f t="shared" si="253"/>
        <v>0</v>
      </c>
      <c r="BF281" s="20">
        <f t="shared" si="254"/>
        <v>0</v>
      </c>
      <c r="BG281" s="20">
        <f t="shared" si="255"/>
        <v>0</v>
      </c>
    </row>
    <row r="282" spans="1:59" ht="14.25" customHeight="1">
      <c r="A282" s="147" t="s">
        <v>59</v>
      </c>
      <c r="B282" s="147" t="s">
        <v>804</v>
      </c>
      <c r="C282" s="151" t="s">
        <v>805</v>
      </c>
      <c r="D282" s="151" t="s">
        <v>62</v>
      </c>
      <c r="E282" s="151">
        <v>4</v>
      </c>
      <c r="F282" s="149" t="s">
        <v>814</v>
      </c>
      <c r="G282" s="147" t="s">
        <v>807</v>
      </c>
      <c r="H282" s="147" t="s">
        <v>808</v>
      </c>
      <c r="I282" s="147" t="s">
        <v>296</v>
      </c>
      <c r="J282" s="164">
        <v>80111620</v>
      </c>
      <c r="K282" s="147" t="s">
        <v>809</v>
      </c>
      <c r="L282" s="147" t="s">
        <v>83</v>
      </c>
      <c r="M282" s="147" t="s">
        <v>815</v>
      </c>
      <c r="N282" s="147" t="s">
        <v>91</v>
      </c>
      <c r="O282" s="147" t="s">
        <v>91</v>
      </c>
      <c r="P282" s="149" t="s">
        <v>85</v>
      </c>
      <c r="Q282" s="147">
        <v>11</v>
      </c>
      <c r="R282" s="147" t="s">
        <v>72</v>
      </c>
      <c r="S282" s="147" t="s">
        <v>73</v>
      </c>
      <c r="T282" s="147" t="s">
        <v>74</v>
      </c>
      <c r="U282" s="148">
        <v>44000000</v>
      </c>
      <c r="V282" s="148">
        <v>44000000</v>
      </c>
      <c r="W282" s="147" t="s">
        <v>75</v>
      </c>
      <c r="X282" s="147" t="s">
        <v>67</v>
      </c>
      <c r="Y282" s="147" t="s">
        <v>811</v>
      </c>
      <c r="Z282" s="147" t="s">
        <v>812</v>
      </c>
      <c r="AA282" s="147">
        <v>6012220601</v>
      </c>
      <c r="AB282" s="160" t="s">
        <v>813</v>
      </c>
      <c r="AC282" s="14"/>
      <c r="AD282" s="14"/>
      <c r="AE282" s="14">
        <v>44000000</v>
      </c>
      <c r="AF282" s="14"/>
      <c r="AG282" s="14"/>
      <c r="AH282" s="62">
        <v>3333333</v>
      </c>
      <c r="AI282" s="14">
        <v>-666667</v>
      </c>
      <c r="AJ282" s="14">
        <v>4000000</v>
      </c>
      <c r="AK282" s="14"/>
      <c r="AL282" s="14">
        <v>4000000</v>
      </c>
      <c r="AM282" s="14"/>
      <c r="AN282" s="14">
        <v>4000000</v>
      </c>
      <c r="AO282" s="14"/>
      <c r="AP282" s="14">
        <v>4000000</v>
      </c>
      <c r="AQ282" s="14"/>
      <c r="AR282" s="14">
        <v>4000000</v>
      </c>
      <c r="AS282" s="14"/>
      <c r="AT282" s="14">
        <v>4000000</v>
      </c>
      <c r="AU282" s="15"/>
      <c r="AV282" s="15">
        <v>4000000</v>
      </c>
      <c r="AW282" s="15"/>
      <c r="AX282" s="15">
        <v>4000000</v>
      </c>
      <c r="AY282" s="15"/>
      <c r="AZ282" s="15">
        <v>8000000</v>
      </c>
      <c r="BA282" s="17">
        <v>666667</v>
      </c>
      <c r="BB282" s="17">
        <v>666667</v>
      </c>
      <c r="BC282" s="18">
        <f t="shared" si="251"/>
        <v>44000000</v>
      </c>
      <c r="BD282" s="18">
        <f t="shared" si="252"/>
        <v>44000000</v>
      </c>
      <c r="BE282" s="19">
        <f t="shared" si="253"/>
        <v>0</v>
      </c>
      <c r="BF282" s="20">
        <f t="shared" si="254"/>
        <v>0</v>
      </c>
      <c r="BG282" s="20">
        <f t="shared" si="255"/>
        <v>0</v>
      </c>
    </row>
    <row r="283" spans="1:59" ht="14.25" customHeight="1">
      <c r="A283" s="147" t="s">
        <v>59</v>
      </c>
      <c r="B283" s="147" t="s">
        <v>804</v>
      </c>
      <c r="C283" s="151" t="s">
        <v>805</v>
      </c>
      <c r="D283" s="151" t="s">
        <v>62</v>
      </c>
      <c r="E283" s="151">
        <v>6</v>
      </c>
      <c r="F283" s="149" t="s">
        <v>816</v>
      </c>
      <c r="G283" s="147" t="s">
        <v>807</v>
      </c>
      <c r="H283" s="147" t="s">
        <v>808</v>
      </c>
      <c r="I283" s="147" t="s">
        <v>296</v>
      </c>
      <c r="J283" s="164">
        <v>80111620</v>
      </c>
      <c r="K283" s="147" t="s">
        <v>809</v>
      </c>
      <c r="L283" s="147" t="s">
        <v>83</v>
      </c>
      <c r="M283" s="147" t="s">
        <v>817</v>
      </c>
      <c r="N283" s="147" t="s">
        <v>91</v>
      </c>
      <c r="O283" s="147" t="s">
        <v>91</v>
      </c>
      <c r="P283" s="149" t="s">
        <v>91</v>
      </c>
      <c r="Q283" s="147">
        <v>10</v>
      </c>
      <c r="R283" s="147" t="s">
        <v>72</v>
      </c>
      <c r="S283" s="147" t="s">
        <v>73</v>
      </c>
      <c r="T283" s="147" t="s">
        <v>74</v>
      </c>
      <c r="U283" s="148">
        <v>42000000</v>
      </c>
      <c r="V283" s="148">
        <v>42000000</v>
      </c>
      <c r="W283" s="147" t="s">
        <v>75</v>
      </c>
      <c r="X283" s="147" t="s">
        <v>67</v>
      </c>
      <c r="Y283" s="147" t="s">
        <v>811</v>
      </c>
      <c r="Z283" s="147" t="s">
        <v>812</v>
      </c>
      <c r="AA283" s="147">
        <v>6012220601</v>
      </c>
      <c r="AB283" s="160" t="s">
        <v>813</v>
      </c>
      <c r="AC283" s="14">
        <v>42000000</v>
      </c>
      <c r="AD283" s="14"/>
      <c r="AE283" s="14"/>
      <c r="AF283" s="14">
        <v>4000000</v>
      </c>
      <c r="AG283" s="14"/>
      <c r="AH283" s="62">
        <v>4000000</v>
      </c>
      <c r="AI283" s="14"/>
      <c r="AJ283" s="14">
        <v>4000000</v>
      </c>
      <c r="AK283" s="14"/>
      <c r="AL283" s="14">
        <v>4000000</v>
      </c>
      <c r="AM283" s="14"/>
      <c r="AN283" s="14">
        <v>4000000</v>
      </c>
      <c r="AO283" s="14">
        <v>-3333333</v>
      </c>
      <c r="AP283" s="14">
        <v>4000000</v>
      </c>
      <c r="AQ283" s="14"/>
      <c r="AR283" s="14"/>
      <c r="AS283" s="14"/>
      <c r="AT283" s="14">
        <v>1600000</v>
      </c>
      <c r="AU283" s="28">
        <v>-10666667</v>
      </c>
      <c r="AV283" s="25"/>
      <c r="AW283" s="25"/>
      <c r="AX283" s="25"/>
      <c r="AY283" s="25"/>
      <c r="AZ283" s="27"/>
      <c r="BA283" s="33">
        <v>14000000</v>
      </c>
      <c r="BB283" s="33">
        <v>16400000</v>
      </c>
      <c r="BC283" s="18">
        <f t="shared" si="251"/>
        <v>42000000</v>
      </c>
      <c r="BD283" s="18">
        <f t="shared" si="252"/>
        <v>42000000</v>
      </c>
      <c r="BE283" s="19">
        <f t="shared" si="253"/>
        <v>0</v>
      </c>
      <c r="BF283" s="20">
        <f t="shared" si="254"/>
        <v>0</v>
      </c>
      <c r="BG283" s="20">
        <f t="shared" si="255"/>
        <v>0</v>
      </c>
    </row>
    <row r="284" spans="1:59" ht="14.25" customHeight="1">
      <c r="A284" s="147" t="s">
        <v>59</v>
      </c>
      <c r="B284" s="147" t="s">
        <v>804</v>
      </c>
      <c r="C284" s="151" t="s">
        <v>805</v>
      </c>
      <c r="D284" s="151" t="s">
        <v>62</v>
      </c>
      <c r="E284" s="151">
        <v>4</v>
      </c>
      <c r="F284" s="149" t="s">
        <v>818</v>
      </c>
      <c r="G284" s="147" t="s">
        <v>807</v>
      </c>
      <c r="H284" s="147" t="s">
        <v>808</v>
      </c>
      <c r="I284" s="147" t="s">
        <v>819</v>
      </c>
      <c r="J284" s="164">
        <v>80111620</v>
      </c>
      <c r="K284" s="147" t="s">
        <v>809</v>
      </c>
      <c r="L284" s="147" t="s">
        <v>83</v>
      </c>
      <c r="M284" s="147" t="s">
        <v>820</v>
      </c>
      <c r="N284" s="147" t="s">
        <v>91</v>
      </c>
      <c r="O284" s="147" t="s">
        <v>91</v>
      </c>
      <c r="P284" s="149" t="s">
        <v>85</v>
      </c>
      <c r="Q284" s="147">
        <v>11</v>
      </c>
      <c r="R284" s="147" t="s">
        <v>72</v>
      </c>
      <c r="S284" s="147" t="s">
        <v>73</v>
      </c>
      <c r="T284" s="147" t="s">
        <v>74</v>
      </c>
      <c r="U284" s="148">
        <v>42000000</v>
      </c>
      <c r="V284" s="148">
        <v>42000000</v>
      </c>
      <c r="W284" s="147" t="s">
        <v>75</v>
      </c>
      <c r="X284" s="147" t="s">
        <v>67</v>
      </c>
      <c r="Y284" s="147" t="s">
        <v>811</v>
      </c>
      <c r="Z284" s="147" t="s">
        <v>812</v>
      </c>
      <c r="AA284" s="147">
        <v>6012220601</v>
      </c>
      <c r="AB284" s="160" t="s">
        <v>813</v>
      </c>
      <c r="AC284" s="14"/>
      <c r="AD284" s="14"/>
      <c r="AE284" s="14">
        <v>42000000</v>
      </c>
      <c r="AF284" s="14"/>
      <c r="AG284" s="14"/>
      <c r="AH284" s="62">
        <v>2800000</v>
      </c>
      <c r="AI284" s="14"/>
      <c r="AJ284" s="14">
        <v>4000000</v>
      </c>
      <c r="AK284" s="14"/>
      <c r="AL284" s="14">
        <v>4000000</v>
      </c>
      <c r="AM284" s="14"/>
      <c r="AN284" s="14">
        <v>4000000</v>
      </c>
      <c r="AO284" s="14"/>
      <c r="AP284" s="14">
        <v>4000000</v>
      </c>
      <c r="AQ284" s="14"/>
      <c r="AR284" s="14">
        <v>4000000</v>
      </c>
      <c r="AS284" s="14"/>
      <c r="AT284" s="14">
        <v>4000000</v>
      </c>
      <c r="AU284" s="15"/>
      <c r="AV284" s="14">
        <v>4000000</v>
      </c>
      <c r="AW284" s="15"/>
      <c r="AX284" s="14">
        <v>4000000</v>
      </c>
      <c r="AY284" s="15"/>
      <c r="AZ284" s="15">
        <v>7200000</v>
      </c>
      <c r="BA284" s="17"/>
      <c r="BB284" s="17"/>
      <c r="BC284" s="18">
        <f t="shared" si="251"/>
        <v>42000000</v>
      </c>
      <c r="BD284" s="18">
        <f t="shared" si="252"/>
        <v>42000000</v>
      </c>
      <c r="BE284" s="19">
        <f t="shared" si="253"/>
        <v>0</v>
      </c>
      <c r="BF284" s="20">
        <f t="shared" si="254"/>
        <v>0</v>
      </c>
      <c r="BG284" s="20">
        <f t="shared" si="255"/>
        <v>0</v>
      </c>
    </row>
    <row r="285" spans="1:59" ht="14.25" customHeight="1">
      <c r="A285" s="147" t="s">
        <v>59</v>
      </c>
      <c r="B285" s="147" t="s">
        <v>804</v>
      </c>
      <c r="C285" s="151" t="s">
        <v>805</v>
      </c>
      <c r="D285" s="151" t="s">
        <v>62</v>
      </c>
      <c r="E285" s="151">
        <v>3</v>
      </c>
      <c r="F285" s="149" t="s">
        <v>821</v>
      </c>
      <c r="G285" s="147" t="s">
        <v>807</v>
      </c>
      <c r="H285" s="147" t="s">
        <v>822</v>
      </c>
      <c r="I285" s="147" t="s">
        <v>823</v>
      </c>
      <c r="J285" s="164">
        <v>80111620</v>
      </c>
      <c r="K285" s="147" t="s">
        <v>824</v>
      </c>
      <c r="L285" s="147" t="s">
        <v>83</v>
      </c>
      <c r="M285" s="147" t="s">
        <v>825</v>
      </c>
      <c r="N285" s="147" t="s">
        <v>91</v>
      </c>
      <c r="O285" s="147" t="s">
        <v>91</v>
      </c>
      <c r="P285" s="149" t="s">
        <v>91</v>
      </c>
      <c r="Q285" s="147">
        <v>11</v>
      </c>
      <c r="R285" s="147" t="s">
        <v>72</v>
      </c>
      <c r="S285" s="147" t="s">
        <v>73</v>
      </c>
      <c r="T285" s="147" t="s">
        <v>74</v>
      </c>
      <c r="U285" s="148">
        <v>63000000</v>
      </c>
      <c r="V285" s="148">
        <v>63000000</v>
      </c>
      <c r="W285" s="147" t="s">
        <v>75</v>
      </c>
      <c r="X285" s="147" t="s">
        <v>67</v>
      </c>
      <c r="Y285" s="147" t="s">
        <v>811</v>
      </c>
      <c r="Z285" s="147" t="s">
        <v>812</v>
      </c>
      <c r="AA285" s="147">
        <v>6012220601</v>
      </c>
      <c r="AB285" s="160" t="s">
        <v>813</v>
      </c>
      <c r="AC285" s="14">
        <v>63000000</v>
      </c>
      <c r="AD285" s="14"/>
      <c r="AE285" s="14"/>
      <c r="AF285" s="14"/>
      <c r="AG285" s="14"/>
      <c r="AH285" s="62">
        <v>8000000</v>
      </c>
      <c r="AI285" s="14"/>
      <c r="AJ285" s="14"/>
      <c r="AK285" s="14"/>
      <c r="AL285" s="14">
        <v>8000000</v>
      </c>
      <c r="AM285" s="14"/>
      <c r="AN285" s="14">
        <v>8000000</v>
      </c>
      <c r="AO285" s="14"/>
      <c r="AP285" s="14">
        <v>8000000</v>
      </c>
      <c r="AQ285" s="14"/>
      <c r="AR285" s="14"/>
      <c r="AS285" s="14"/>
      <c r="AT285" s="14"/>
      <c r="AU285" s="15"/>
      <c r="AV285" s="15">
        <v>7000000</v>
      </c>
      <c r="AW285" s="15"/>
      <c r="AX285" s="15">
        <v>8000000</v>
      </c>
      <c r="AY285" s="15"/>
      <c r="AZ285" s="15">
        <v>16000000</v>
      </c>
      <c r="BA285" s="17"/>
      <c r="BB285" s="17"/>
      <c r="BC285" s="18">
        <f t="shared" si="251"/>
        <v>63000000</v>
      </c>
      <c r="BD285" s="18">
        <f t="shared" si="252"/>
        <v>63000000</v>
      </c>
      <c r="BE285" s="19">
        <f t="shared" si="253"/>
        <v>0</v>
      </c>
      <c r="BF285" s="20">
        <f t="shared" si="254"/>
        <v>0</v>
      </c>
      <c r="BG285" s="20">
        <f t="shared" si="255"/>
        <v>0</v>
      </c>
    </row>
    <row r="286" spans="1:59" ht="14.25" customHeight="1">
      <c r="A286" s="147" t="s">
        <v>59</v>
      </c>
      <c r="B286" s="147" t="s">
        <v>804</v>
      </c>
      <c r="C286" s="151" t="s">
        <v>805</v>
      </c>
      <c r="D286" s="151" t="s">
        <v>62</v>
      </c>
      <c r="E286" s="151">
        <v>3</v>
      </c>
      <c r="F286" s="149" t="s">
        <v>826</v>
      </c>
      <c r="G286" s="147" t="s">
        <v>807</v>
      </c>
      <c r="H286" s="147" t="s">
        <v>822</v>
      </c>
      <c r="I286" s="147" t="s">
        <v>827</v>
      </c>
      <c r="J286" s="164">
        <v>80111620</v>
      </c>
      <c r="K286" s="147" t="s">
        <v>824</v>
      </c>
      <c r="L286" s="147" t="s">
        <v>83</v>
      </c>
      <c r="M286" s="147" t="s">
        <v>828</v>
      </c>
      <c r="N286" s="147" t="s">
        <v>91</v>
      </c>
      <c r="O286" s="147" t="s">
        <v>91</v>
      </c>
      <c r="P286" s="149" t="s">
        <v>91</v>
      </c>
      <c r="Q286" s="147">
        <v>11</v>
      </c>
      <c r="R286" s="147" t="s">
        <v>72</v>
      </c>
      <c r="S286" s="147" t="s">
        <v>73</v>
      </c>
      <c r="T286" s="147" t="s">
        <v>74</v>
      </c>
      <c r="U286" s="148">
        <v>25000000</v>
      </c>
      <c r="V286" s="148">
        <v>25000000</v>
      </c>
      <c r="W286" s="147" t="s">
        <v>75</v>
      </c>
      <c r="X286" s="147" t="s">
        <v>67</v>
      </c>
      <c r="Y286" s="147" t="s">
        <v>811</v>
      </c>
      <c r="Z286" s="147" t="s">
        <v>812</v>
      </c>
      <c r="AA286" s="147">
        <v>6012220601</v>
      </c>
      <c r="AB286" s="160" t="s">
        <v>813</v>
      </c>
      <c r="AC286" s="14">
        <v>25000000</v>
      </c>
      <c r="AD286" s="14"/>
      <c r="AE286" s="14"/>
      <c r="AF286" s="14"/>
      <c r="AG286" s="14"/>
      <c r="AH286" s="62"/>
      <c r="AI286" s="14"/>
      <c r="AJ286" s="14">
        <v>8000000</v>
      </c>
      <c r="AK286" s="14"/>
      <c r="AL286" s="14"/>
      <c r="AM286" s="14"/>
      <c r="AN286" s="14"/>
      <c r="AO286" s="14"/>
      <c r="AP286" s="14"/>
      <c r="AQ286" s="14"/>
      <c r="AR286" s="14">
        <v>8000000</v>
      </c>
      <c r="AS286" s="14"/>
      <c r="AT286" s="14">
        <v>8000000</v>
      </c>
      <c r="AU286" s="15"/>
      <c r="AV286" s="15">
        <v>1000000</v>
      </c>
      <c r="AW286" s="15"/>
      <c r="AX286" s="15"/>
      <c r="AY286" s="15"/>
      <c r="AZ286" s="15"/>
      <c r="BA286" s="17"/>
      <c r="BB286" s="17"/>
      <c r="BC286" s="18">
        <f t="shared" si="251"/>
        <v>25000000</v>
      </c>
      <c r="BD286" s="18">
        <f t="shared" si="252"/>
        <v>25000000</v>
      </c>
      <c r="BE286" s="19">
        <f t="shared" si="253"/>
        <v>0</v>
      </c>
      <c r="BF286" s="20">
        <f t="shared" si="254"/>
        <v>0</v>
      </c>
      <c r="BG286" s="20">
        <f t="shared" si="255"/>
        <v>0</v>
      </c>
    </row>
    <row r="287" spans="1:59" ht="14.25" customHeight="1">
      <c r="A287" s="147" t="s">
        <v>59</v>
      </c>
      <c r="B287" s="147" t="s">
        <v>804</v>
      </c>
      <c r="C287" s="151" t="s">
        <v>805</v>
      </c>
      <c r="D287" s="151" t="s">
        <v>62</v>
      </c>
      <c r="E287" s="151">
        <v>3</v>
      </c>
      <c r="F287" s="149" t="s">
        <v>829</v>
      </c>
      <c r="G287" s="147" t="s">
        <v>807</v>
      </c>
      <c r="H287" s="147" t="s">
        <v>822</v>
      </c>
      <c r="I287" s="147" t="s">
        <v>827</v>
      </c>
      <c r="J287" s="164">
        <v>80111620</v>
      </c>
      <c r="K287" s="147" t="s">
        <v>824</v>
      </c>
      <c r="L287" s="147" t="s">
        <v>83</v>
      </c>
      <c r="M287" s="147" t="s">
        <v>830</v>
      </c>
      <c r="N287" s="147" t="s">
        <v>91</v>
      </c>
      <c r="O287" s="147" t="s">
        <v>91</v>
      </c>
      <c r="P287" s="149" t="s">
        <v>91</v>
      </c>
      <c r="Q287" s="147">
        <v>11.5</v>
      </c>
      <c r="R287" s="147" t="s">
        <v>72</v>
      </c>
      <c r="S287" s="147" t="s">
        <v>73</v>
      </c>
      <c r="T287" s="147" t="s">
        <v>74</v>
      </c>
      <c r="U287" s="148">
        <v>9000000</v>
      </c>
      <c r="V287" s="148">
        <v>9000000</v>
      </c>
      <c r="W287" s="147" t="s">
        <v>75</v>
      </c>
      <c r="X287" s="147" t="s">
        <v>67</v>
      </c>
      <c r="Y287" s="147" t="s">
        <v>811</v>
      </c>
      <c r="Z287" s="147" t="s">
        <v>812</v>
      </c>
      <c r="AA287" s="147">
        <v>6012220601</v>
      </c>
      <c r="AB287" s="160" t="s">
        <v>813</v>
      </c>
      <c r="AC287" s="14">
        <v>9000000</v>
      </c>
      <c r="AD287" s="14"/>
      <c r="AE287" s="14">
        <v>-750000</v>
      </c>
      <c r="AF287" s="14"/>
      <c r="AG287" s="14"/>
      <c r="AH287" s="62"/>
      <c r="AI287" s="14"/>
      <c r="AJ287" s="14"/>
      <c r="AK287" s="14"/>
      <c r="AL287" s="14"/>
      <c r="AM287" s="14"/>
      <c r="AN287" s="14"/>
      <c r="AO287" s="14"/>
      <c r="AP287" s="14"/>
      <c r="AQ287" s="14"/>
      <c r="AR287" s="14"/>
      <c r="AS287" s="14"/>
      <c r="AT287" s="14"/>
      <c r="AU287" s="15"/>
      <c r="AV287" s="15"/>
      <c r="AW287" s="15"/>
      <c r="AX287" s="15">
        <v>4500000</v>
      </c>
      <c r="AY287" s="15"/>
      <c r="AZ287" s="15">
        <v>3750000</v>
      </c>
      <c r="BA287" s="33">
        <v>750000</v>
      </c>
      <c r="BB287" s="33">
        <v>750000</v>
      </c>
      <c r="BC287" s="18">
        <f t="shared" si="251"/>
        <v>9000000</v>
      </c>
      <c r="BD287" s="18">
        <f t="shared" si="252"/>
        <v>9000000</v>
      </c>
      <c r="BE287" s="19">
        <f t="shared" si="253"/>
        <v>0</v>
      </c>
      <c r="BF287" s="20">
        <f t="shared" si="254"/>
        <v>0</v>
      </c>
      <c r="BG287" s="20">
        <f t="shared" si="255"/>
        <v>0</v>
      </c>
    </row>
    <row r="288" spans="1:59" ht="14.25" customHeight="1">
      <c r="A288" s="147" t="s">
        <v>59</v>
      </c>
      <c r="B288" s="147" t="s">
        <v>804</v>
      </c>
      <c r="C288" s="151" t="s">
        <v>805</v>
      </c>
      <c r="D288" s="151" t="s">
        <v>62</v>
      </c>
      <c r="E288" s="151" t="s">
        <v>114</v>
      </c>
      <c r="F288" s="149" t="s">
        <v>831</v>
      </c>
      <c r="G288" s="147" t="s">
        <v>807</v>
      </c>
      <c r="H288" s="147" t="s">
        <v>822</v>
      </c>
      <c r="I288" s="147" t="s">
        <v>827</v>
      </c>
      <c r="J288" s="164">
        <v>80111620</v>
      </c>
      <c r="K288" s="147" t="s">
        <v>824</v>
      </c>
      <c r="L288" s="147" t="s">
        <v>83</v>
      </c>
      <c r="M288" s="147" t="s">
        <v>832</v>
      </c>
      <c r="N288" s="147" t="s">
        <v>91</v>
      </c>
      <c r="O288" s="147" t="s">
        <v>91</v>
      </c>
      <c r="P288" s="149" t="s">
        <v>91</v>
      </c>
      <c r="Q288" s="149">
        <v>3</v>
      </c>
      <c r="R288" s="147" t="s">
        <v>72</v>
      </c>
      <c r="S288" s="147" t="s">
        <v>73</v>
      </c>
      <c r="T288" s="147" t="s">
        <v>74</v>
      </c>
      <c r="U288" s="148">
        <v>18000000</v>
      </c>
      <c r="V288" s="148">
        <v>18000000</v>
      </c>
      <c r="W288" s="147" t="s">
        <v>75</v>
      </c>
      <c r="X288" s="147" t="s">
        <v>67</v>
      </c>
      <c r="Y288" s="147" t="s">
        <v>811</v>
      </c>
      <c r="Z288" s="147" t="s">
        <v>812</v>
      </c>
      <c r="AA288" s="147">
        <v>6012220601</v>
      </c>
      <c r="AB288" s="160" t="s">
        <v>813</v>
      </c>
      <c r="AC288" s="14">
        <v>18000000</v>
      </c>
      <c r="AD288" s="14"/>
      <c r="AE288" s="14"/>
      <c r="AF288" s="14">
        <v>4400000</v>
      </c>
      <c r="AG288" s="14"/>
      <c r="AH288" s="62">
        <v>6000000</v>
      </c>
      <c r="AI288" s="14"/>
      <c r="AJ288" s="14">
        <v>6000000</v>
      </c>
      <c r="AK288" s="14"/>
      <c r="AL288" s="14">
        <v>1600000</v>
      </c>
      <c r="AM288" s="14"/>
      <c r="AN288" s="14"/>
      <c r="AO288" s="14"/>
      <c r="AP288" s="14"/>
      <c r="AQ288" s="14"/>
      <c r="AR288" s="14"/>
      <c r="AS288" s="14"/>
      <c r="AT288" s="14"/>
      <c r="AU288" s="28"/>
      <c r="AV288" s="28"/>
      <c r="AW288" s="25"/>
      <c r="AX288" s="28"/>
      <c r="AY288" s="25"/>
      <c r="AZ288" s="28"/>
      <c r="BA288" s="17"/>
      <c r="BB288" s="17"/>
      <c r="BC288" s="18">
        <f t="shared" si="251"/>
        <v>18000000</v>
      </c>
      <c r="BD288" s="18">
        <f t="shared" si="252"/>
        <v>18000000</v>
      </c>
      <c r="BE288" s="19">
        <f t="shared" si="253"/>
        <v>0</v>
      </c>
      <c r="BF288" s="20">
        <f t="shared" si="254"/>
        <v>0</v>
      </c>
      <c r="BG288" s="20">
        <f t="shared" si="255"/>
        <v>0</v>
      </c>
    </row>
    <row r="289" spans="1:59" ht="14.25" customHeight="1">
      <c r="A289" s="147" t="s">
        <v>59</v>
      </c>
      <c r="B289" s="147" t="s">
        <v>804</v>
      </c>
      <c r="C289" s="151" t="s">
        <v>805</v>
      </c>
      <c r="D289" s="151" t="s">
        <v>62</v>
      </c>
      <c r="E289" s="151">
        <v>35</v>
      </c>
      <c r="F289" s="149" t="s">
        <v>833</v>
      </c>
      <c r="G289" s="147" t="s">
        <v>807</v>
      </c>
      <c r="H289" s="147" t="s">
        <v>822</v>
      </c>
      <c r="I289" s="147" t="s">
        <v>827</v>
      </c>
      <c r="J289" s="164">
        <v>80111620</v>
      </c>
      <c r="K289" s="147" t="s">
        <v>824</v>
      </c>
      <c r="L289" s="147" t="s">
        <v>83</v>
      </c>
      <c r="M289" s="147" t="s">
        <v>834</v>
      </c>
      <c r="N289" s="147" t="s">
        <v>91</v>
      </c>
      <c r="O289" s="147" t="s">
        <v>91</v>
      </c>
      <c r="P289" s="149" t="s">
        <v>85</v>
      </c>
      <c r="Q289" s="147">
        <v>11</v>
      </c>
      <c r="R289" s="147" t="s">
        <v>72</v>
      </c>
      <c r="S289" s="147" t="s">
        <v>73</v>
      </c>
      <c r="T289" s="147" t="s">
        <v>74</v>
      </c>
      <c r="U289" s="192">
        <v>86797600</v>
      </c>
      <c r="V289" s="148">
        <v>86797600</v>
      </c>
      <c r="W289" s="147" t="s">
        <v>75</v>
      </c>
      <c r="X289" s="147" t="s">
        <v>67</v>
      </c>
      <c r="Y289" s="147" t="s">
        <v>811</v>
      </c>
      <c r="Z289" s="147" t="s">
        <v>812</v>
      </c>
      <c r="AA289" s="147">
        <v>6012220601</v>
      </c>
      <c r="AB289" s="160" t="s">
        <v>813</v>
      </c>
      <c r="AC289" s="14"/>
      <c r="AD289" s="14"/>
      <c r="AE289" s="14">
        <f>85866667-266667</f>
        <v>85600000</v>
      </c>
      <c r="AF289" s="14"/>
      <c r="AG289" s="14"/>
      <c r="AH289" s="62">
        <v>5600000</v>
      </c>
      <c r="AI289" s="14"/>
      <c r="AJ289" s="14">
        <v>8000000</v>
      </c>
      <c r="AK289" s="14"/>
      <c r="AL289" s="14">
        <v>8000000</v>
      </c>
      <c r="AM289" s="14"/>
      <c r="AN289" s="14">
        <v>8000000</v>
      </c>
      <c r="AO289" s="14"/>
      <c r="AP289" s="14">
        <v>8000000</v>
      </c>
      <c r="AQ289" s="14"/>
      <c r="AR289" s="14">
        <v>8000000</v>
      </c>
      <c r="AS289" s="14"/>
      <c r="AT289" s="14">
        <v>8000000</v>
      </c>
      <c r="AU289" s="15"/>
      <c r="AV289" s="15">
        <v>8000000</v>
      </c>
      <c r="AW289" s="15"/>
      <c r="AX289" s="15">
        <v>8000000</v>
      </c>
      <c r="AY289" s="15"/>
      <c r="AZ289" s="15">
        <v>16000000</v>
      </c>
      <c r="BA289" s="17">
        <v>1197600</v>
      </c>
      <c r="BB289" s="17">
        <v>1197600</v>
      </c>
      <c r="BC289" s="18">
        <f t="shared" si="251"/>
        <v>86797600</v>
      </c>
      <c r="BD289" s="18">
        <f t="shared" si="252"/>
        <v>86797600</v>
      </c>
      <c r="BE289" s="19">
        <f t="shared" si="253"/>
        <v>0</v>
      </c>
      <c r="BF289" s="20">
        <f t="shared" si="254"/>
        <v>0</v>
      </c>
      <c r="BG289" s="20">
        <f t="shared" si="255"/>
        <v>0</v>
      </c>
    </row>
    <row r="290" spans="1:59" ht="14.25" customHeight="1">
      <c r="A290" s="147" t="s">
        <v>59</v>
      </c>
      <c r="B290" s="147" t="s">
        <v>804</v>
      </c>
      <c r="C290" s="151" t="s">
        <v>805</v>
      </c>
      <c r="D290" s="151" t="s">
        <v>62</v>
      </c>
      <c r="E290" s="151">
        <v>6</v>
      </c>
      <c r="F290" s="149" t="s">
        <v>835</v>
      </c>
      <c r="G290" s="147" t="s">
        <v>807</v>
      </c>
      <c r="H290" s="147" t="s">
        <v>822</v>
      </c>
      <c r="I290" s="147" t="s">
        <v>827</v>
      </c>
      <c r="J290" s="164">
        <v>80111620</v>
      </c>
      <c r="K290" s="147" t="s">
        <v>824</v>
      </c>
      <c r="L290" s="147" t="s">
        <v>83</v>
      </c>
      <c r="M290" s="147" t="s">
        <v>836</v>
      </c>
      <c r="N290" s="147" t="s">
        <v>85</v>
      </c>
      <c r="O290" s="147" t="s">
        <v>85</v>
      </c>
      <c r="P290" s="149" t="s">
        <v>85</v>
      </c>
      <c r="Q290" s="147">
        <v>11</v>
      </c>
      <c r="R290" s="147" t="s">
        <v>72</v>
      </c>
      <c r="S290" s="147" t="s">
        <v>73</v>
      </c>
      <c r="T290" s="147" t="s">
        <v>74</v>
      </c>
      <c r="U290" s="148">
        <v>79235000</v>
      </c>
      <c r="V290" s="148">
        <v>79235000</v>
      </c>
      <c r="W290" s="147" t="s">
        <v>75</v>
      </c>
      <c r="X290" s="147" t="s">
        <v>67</v>
      </c>
      <c r="Y290" s="147" t="s">
        <v>811</v>
      </c>
      <c r="Z290" s="147" t="s">
        <v>812</v>
      </c>
      <c r="AA290" s="147">
        <v>6012220601</v>
      </c>
      <c r="AB290" s="160" t="s">
        <v>813</v>
      </c>
      <c r="AC290" s="14"/>
      <c r="AD290" s="14"/>
      <c r="AE290" s="14">
        <v>79235000</v>
      </c>
      <c r="AF290" s="14"/>
      <c r="AG290" s="14"/>
      <c r="AH290" s="62">
        <v>6066667</v>
      </c>
      <c r="AI290" s="14"/>
      <c r="AJ290" s="14"/>
      <c r="AK290" s="14"/>
      <c r="AL290" s="14"/>
      <c r="AM290" s="14"/>
      <c r="AN290" s="14"/>
      <c r="AO290" s="14"/>
      <c r="AP290" s="14">
        <v>13000000</v>
      </c>
      <c r="AQ290" s="14"/>
      <c r="AR290" s="14">
        <v>13000000</v>
      </c>
      <c r="AS290" s="14"/>
      <c r="AT290" s="14">
        <v>13000000</v>
      </c>
      <c r="AU290" s="25"/>
      <c r="AV290" s="28">
        <v>13000000</v>
      </c>
      <c r="AW290" s="25"/>
      <c r="AX290" s="28">
        <v>13000000</v>
      </c>
      <c r="AY290" s="25"/>
      <c r="AZ290" s="28">
        <v>8168333</v>
      </c>
      <c r="BA290" s="17"/>
      <c r="BB290" s="17"/>
      <c r="BC290" s="18">
        <f t="shared" si="251"/>
        <v>79235000</v>
      </c>
      <c r="BD290" s="18">
        <f t="shared" si="252"/>
        <v>79235000</v>
      </c>
      <c r="BE290" s="19">
        <f t="shared" si="253"/>
        <v>0</v>
      </c>
      <c r="BF290" s="20">
        <f t="shared" si="254"/>
        <v>0</v>
      </c>
      <c r="BG290" s="20">
        <f t="shared" si="255"/>
        <v>0</v>
      </c>
    </row>
    <row r="291" spans="1:59" ht="14.25" customHeight="1">
      <c r="A291" s="147" t="s">
        <v>59</v>
      </c>
      <c r="B291" s="147" t="s">
        <v>804</v>
      </c>
      <c r="C291" s="151" t="s">
        <v>805</v>
      </c>
      <c r="D291" s="151" t="s">
        <v>62</v>
      </c>
      <c r="E291" s="151">
        <v>35</v>
      </c>
      <c r="F291" s="149" t="s">
        <v>837</v>
      </c>
      <c r="G291" s="147" t="s">
        <v>807</v>
      </c>
      <c r="H291" s="147" t="s">
        <v>822</v>
      </c>
      <c r="I291" s="147" t="s">
        <v>827</v>
      </c>
      <c r="J291" s="164">
        <v>43233400</v>
      </c>
      <c r="K291" s="147" t="s">
        <v>824</v>
      </c>
      <c r="L291" s="147" t="s">
        <v>838</v>
      </c>
      <c r="M291" s="147" t="s">
        <v>839</v>
      </c>
      <c r="N291" s="147" t="s">
        <v>142</v>
      </c>
      <c r="O291" s="147" t="s">
        <v>142</v>
      </c>
      <c r="P291" s="147" t="s">
        <v>71</v>
      </c>
      <c r="Q291" s="147">
        <v>12</v>
      </c>
      <c r="R291" s="147" t="s">
        <v>72</v>
      </c>
      <c r="S291" s="147" t="s">
        <v>222</v>
      </c>
      <c r="T291" s="147" t="s">
        <v>74</v>
      </c>
      <c r="U291" s="193">
        <v>13202400</v>
      </c>
      <c r="V291" s="148">
        <v>13202400</v>
      </c>
      <c r="W291" s="147" t="s">
        <v>75</v>
      </c>
      <c r="X291" s="147" t="s">
        <v>67</v>
      </c>
      <c r="Y291" s="147" t="s">
        <v>811</v>
      </c>
      <c r="Z291" s="147" t="s">
        <v>812</v>
      </c>
      <c r="AA291" s="147">
        <v>6012220601</v>
      </c>
      <c r="AB291" s="160" t="s">
        <v>813</v>
      </c>
      <c r="AC291" s="14"/>
      <c r="AD291" s="14"/>
      <c r="AE291" s="14"/>
      <c r="AF291" s="14"/>
      <c r="AG291" s="14"/>
      <c r="AH291" s="62"/>
      <c r="AI291" s="14"/>
      <c r="AJ291" s="14"/>
      <c r="AK291" s="14"/>
      <c r="AL291" s="14"/>
      <c r="AM291" s="14"/>
      <c r="AN291" s="14"/>
      <c r="AO291" s="14"/>
      <c r="AP291" s="14"/>
      <c r="AQ291" s="14"/>
      <c r="AR291" s="14"/>
      <c r="AS291" s="14"/>
      <c r="AT291" s="14"/>
      <c r="AU291" s="25">
        <v>13202400</v>
      </c>
      <c r="AV291" s="25"/>
      <c r="AW291" s="25"/>
      <c r="AX291" s="25">
        <v>13202400</v>
      </c>
      <c r="AY291" s="25"/>
      <c r="AZ291" s="25"/>
      <c r="BA291" s="17"/>
      <c r="BB291" s="17"/>
      <c r="BC291" s="18">
        <f t="shared" si="251"/>
        <v>13202400</v>
      </c>
      <c r="BD291" s="18">
        <f t="shared" si="252"/>
        <v>13202400</v>
      </c>
      <c r="BE291" s="19">
        <f t="shared" si="253"/>
        <v>0</v>
      </c>
      <c r="BF291" s="20">
        <f t="shared" si="254"/>
        <v>0</v>
      </c>
      <c r="BG291" s="20">
        <f t="shared" si="255"/>
        <v>0</v>
      </c>
    </row>
    <row r="292" spans="1:59" ht="14.25" customHeight="1">
      <c r="A292" s="149" t="s">
        <v>59</v>
      </c>
      <c r="B292" s="149" t="s">
        <v>804</v>
      </c>
      <c r="C292" s="151" t="s">
        <v>805</v>
      </c>
      <c r="D292" s="166" t="s">
        <v>62</v>
      </c>
      <c r="E292" s="166">
        <v>3</v>
      </c>
      <c r="F292" s="149" t="s">
        <v>840</v>
      </c>
      <c r="G292" s="149" t="s">
        <v>841</v>
      </c>
      <c r="H292" s="149" t="s">
        <v>842</v>
      </c>
      <c r="I292" s="149" t="s">
        <v>288</v>
      </c>
      <c r="J292" s="173">
        <v>80111620</v>
      </c>
      <c r="K292" s="149" t="s">
        <v>809</v>
      </c>
      <c r="L292" s="149" t="s">
        <v>83</v>
      </c>
      <c r="M292" s="149" t="s">
        <v>843</v>
      </c>
      <c r="N292" s="149" t="s">
        <v>91</v>
      </c>
      <c r="O292" s="149" t="s">
        <v>85</v>
      </c>
      <c r="P292" s="149" t="s">
        <v>91</v>
      </c>
      <c r="Q292" s="149">
        <v>11.5</v>
      </c>
      <c r="R292" s="149" t="s">
        <v>72</v>
      </c>
      <c r="S292" s="149" t="s">
        <v>73</v>
      </c>
      <c r="T292" s="149" t="s">
        <v>74</v>
      </c>
      <c r="U292" s="175">
        <v>29500000</v>
      </c>
      <c r="V292" s="175">
        <v>29500000</v>
      </c>
      <c r="W292" s="149" t="s">
        <v>75</v>
      </c>
      <c r="X292" s="149" t="s">
        <v>67</v>
      </c>
      <c r="Y292" s="149" t="s">
        <v>811</v>
      </c>
      <c r="Z292" s="149" t="s">
        <v>812</v>
      </c>
      <c r="AA292" s="149">
        <v>6012220601</v>
      </c>
      <c r="AB292" s="172" t="s">
        <v>813</v>
      </c>
      <c r="AC292" s="35">
        <v>29500000</v>
      </c>
      <c r="AD292" s="35"/>
      <c r="AE292" s="35"/>
      <c r="AF292" s="35">
        <v>450000</v>
      </c>
      <c r="AG292" s="35"/>
      <c r="AH292" s="76">
        <v>4500000</v>
      </c>
      <c r="AI292" s="35"/>
      <c r="AJ292" s="35">
        <v>4500000</v>
      </c>
      <c r="AK292" s="35"/>
      <c r="AL292" s="35">
        <v>4500000</v>
      </c>
      <c r="AM292" s="35"/>
      <c r="AN292" s="35">
        <v>4500000</v>
      </c>
      <c r="AO292" s="35"/>
      <c r="AP292" s="35">
        <v>4500000</v>
      </c>
      <c r="AQ292" s="35"/>
      <c r="AR292" s="35"/>
      <c r="AS292" s="35"/>
      <c r="AT292" s="35"/>
      <c r="AU292" s="15"/>
      <c r="AV292" s="15">
        <v>4500000</v>
      </c>
      <c r="AW292" s="15"/>
      <c r="AX292" s="15"/>
      <c r="AY292" s="15"/>
      <c r="AZ292" s="15">
        <v>2050000</v>
      </c>
      <c r="BA292" s="17"/>
      <c r="BB292" s="17"/>
      <c r="BC292" s="18">
        <f t="shared" si="251"/>
        <v>29500000</v>
      </c>
      <c r="BD292" s="18">
        <f t="shared" si="252"/>
        <v>29500000</v>
      </c>
      <c r="BE292" s="19">
        <f t="shared" si="253"/>
        <v>0</v>
      </c>
      <c r="BF292" s="20">
        <f t="shared" si="254"/>
        <v>0</v>
      </c>
      <c r="BG292" s="20">
        <f t="shared" si="255"/>
        <v>0</v>
      </c>
    </row>
    <row r="293" spans="1:59" ht="14.25" customHeight="1">
      <c r="A293" s="150" t="s">
        <v>59</v>
      </c>
      <c r="B293" s="150" t="s">
        <v>804</v>
      </c>
      <c r="C293" s="152" t="s">
        <v>805</v>
      </c>
      <c r="D293" s="152" t="s">
        <v>62</v>
      </c>
      <c r="E293" s="152" t="s">
        <v>114</v>
      </c>
      <c r="F293" s="150" t="s">
        <v>844</v>
      </c>
      <c r="G293" s="150" t="s">
        <v>841</v>
      </c>
      <c r="H293" s="150" t="s">
        <v>842</v>
      </c>
      <c r="I293" s="150" t="s">
        <v>288</v>
      </c>
      <c r="J293" s="181">
        <v>80111620</v>
      </c>
      <c r="K293" s="150" t="s">
        <v>809</v>
      </c>
      <c r="L293" s="150" t="s">
        <v>83</v>
      </c>
      <c r="M293" s="150" t="s">
        <v>845</v>
      </c>
      <c r="N293" s="150" t="s">
        <v>91</v>
      </c>
      <c r="O293" s="150" t="s">
        <v>91</v>
      </c>
      <c r="P293" s="150" t="s">
        <v>91</v>
      </c>
      <c r="Q293" s="150">
        <v>11.5</v>
      </c>
      <c r="R293" s="150" t="s">
        <v>72</v>
      </c>
      <c r="S293" s="150" t="s">
        <v>73</v>
      </c>
      <c r="T293" s="150" t="s">
        <v>74</v>
      </c>
      <c r="U293" s="183">
        <v>7667806</v>
      </c>
      <c r="V293" s="183">
        <v>7667806</v>
      </c>
      <c r="W293" s="150" t="s">
        <v>75</v>
      </c>
      <c r="X293" s="150" t="s">
        <v>67</v>
      </c>
      <c r="Y293" s="150" t="s">
        <v>206</v>
      </c>
      <c r="Z293" s="150" t="s">
        <v>207</v>
      </c>
      <c r="AA293" s="150">
        <v>6012220601</v>
      </c>
      <c r="AB293" s="184" t="s">
        <v>208</v>
      </c>
      <c r="AC293" s="35">
        <v>7667806</v>
      </c>
      <c r="AD293" s="35"/>
      <c r="AE293" s="35"/>
      <c r="AF293" s="35"/>
      <c r="AG293" s="35"/>
      <c r="AH293" s="76"/>
      <c r="AI293" s="35"/>
      <c r="AJ293" s="35"/>
      <c r="AK293" s="35"/>
      <c r="AL293" s="35"/>
      <c r="AM293" s="35"/>
      <c r="AN293" s="35"/>
      <c r="AO293" s="35"/>
      <c r="AP293" s="35"/>
      <c r="AQ293" s="35"/>
      <c r="AR293" s="35"/>
      <c r="AS293" s="35"/>
      <c r="AT293" s="35"/>
      <c r="AU293" s="42"/>
      <c r="AV293" s="42"/>
      <c r="AW293" s="42"/>
      <c r="AX293" s="42">
        <v>2866589</v>
      </c>
      <c r="AY293" s="42"/>
      <c r="AZ293" s="42">
        <v>4801217</v>
      </c>
      <c r="BA293" s="17"/>
      <c r="BB293" s="17"/>
      <c r="BC293" s="18">
        <f t="shared" si="251"/>
        <v>7667806</v>
      </c>
      <c r="BD293" s="18">
        <f t="shared" si="252"/>
        <v>7667806</v>
      </c>
      <c r="BE293" s="19">
        <f t="shared" si="253"/>
        <v>0</v>
      </c>
      <c r="BF293" s="20">
        <f t="shared" si="254"/>
        <v>0</v>
      </c>
      <c r="BG293" s="20">
        <f t="shared" si="255"/>
        <v>0</v>
      </c>
    </row>
    <row r="294" spans="1:59" ht="14.25" customHeight="1">
      <c r="A294" s="150" t="s">
        <v>59</v>
      </c>
      <c r="B294" s="150" t="s">
        <v>804</v>
      </c>
      <c r="C294" s="152" t="s">
        <v>805</v>
      </c>
      <c r="D294" s="152" t="s">
        <v>62</v>
      </c>
      <c r="E294" s="152" t="s">
        <v>114</v>
      </c>
      <c r="F294" s="150" t="s">
        <v>846</v>
      </c>
      <c r="G294" s="150" t="s">
        <v>841</v>
      </c>
      <c r="H294" s="150" t="s">
        <v>842</v>
      </c>
      <c r="I294" s="150" t="s">
        <v>288</v>
      </c>
      <c r="J294" s="181">
        <v>80111620</v>
      </c>
      <c r="K294" s="150" t="s">
        <v>809</v>
      </c>
      <c r="L294" s="150" t="s">
        <v>83</v>
      </c>
      <c r="M294" s="150" t="s">
        <v>847</v>
      </c>
      <c r="N294" s="150" t="s">
        <v>91</v>
      </c>
      <c r="O294" s="150" t="s">
        <v>91</v>
      </c>
      <c r="P294" s="150" t="s">
        <v>91</v>
      </c>
      <c r="Q294" s="150">
        <v>11.5</v>
      </c>
      <c r="R294" s="150" t="s">
        <v>72</v>
      </c>
      <c r="S294" s="150" t="s">
        <v>73</v>
      </c>
      <c r="T294" s="150" t="s">
        <v>74</v>
      </c>
      <c r="U294" s="183">
        <v>7667806</v>
      </c>
      <c r="V294" s="183">
        <v>7667806</v>
      </c>
      <c r="W294" s="150" t="s">
        <v>75</v>
      </c>
      <c r="X294" s="150" t="s">
        <v>67</v>
      </c>
      <c r="Y294" s="150" t="s">
        <v>206</v>
      </c>
      <c r="Z294" s="150" t="s">
        <v>207</v>
      </c>
      <c r="AA294" s="150">
        <v>6012220601</v>
      </c>
      <c r="AB294" s="184" t="s">
        <v>208</v>
      </c>
      <c r="AC294" s="35">
        <v>7667806</v>
      </c>
      <c r="AD294" s="35"/>
      <c r="AE294" s="35"/>
      <c r="AF294" s="35"/>
      <c r="AG294" s="35"/>
      <c r="AH294" s="76"/>
      <c r="AI294" s="35"/>
      <c r="AJ294" s="35"/>
      <c r="AK294" s="35"/>
      <c r="AL294" s="35"/>
      <c r="AM294" s="35"/>
      <c r="AN294" s="35"/>
      <c r="AO294" s="35"/>
      <c r="AP294" s="35"/>
      <c r="AQ294" s="35"/>
      <c r="AR294" s="35"/>
      <c r="AS294" s="35"/>
      <c r="AT294" s="35"/>
      <c r="AU294" s="42"/>
      <c r="AV294" s="42"/>
      <c r="AW294" s="42"/>
      <c r="AX294" s="42">
        <v>2866589</v>
      </c>
      <c r="AY294" s="42"/>
      <c r="AZ294" s="42">
        <v>4801217</v>
      </c>
      <c r="BA294" s="17"/>
      <c r="BB294" s="17"/>
      <c r="BC294" s="18">
        <f t="shared" si="251"/>
        <v>7667806</v>
      </c>
      <c r="BD294" s="18">
        <f t="shared" si="252"/>
        <v>7667806</v>
      </c>
      <c r="BE294" s="19">
        <f t="shared" si="253"/>
        <v>0</v>
      </c>
      <c r="BF294" s="20">
        <f t="shared" si="254"/>
        <v>0</v>
      </c>
      <c r="BG294" s="20">
        <f t="shared" si="255"/>
        <v>0</v>
      </c>
    </row>
    <row r="295" spans="1:59" ht="14.25" customHeight="1">
      <c r="A295" s="149" t="s">
        <v>59</v>
      </c>
      <c r="B295" s="149" t="s">
        <v>804</v>
      </c>
      <c r="C295" s="151" t="s">
        <v>805</v>
      </c>
      <c r="D295" s="166" t="s">
        <v>62</v>
      </c>
      <c r="E295" s="166">
        <v>4</v>
      </c>
      <c r="F295" s="149" t="s">
        <v>848</v>
      </c>
      <c r="G295" s="149" t="s">
        <v>841</v>
      </c>
      <c r="H295" s="149" t="s">
        <v>842</v>
      </c>
      <c r="I295" s="149" t="s">
        <v>288</v>
      </c>
      <c r="J295" s="173">
        <v>80111620</v>
      </c>
      <c r="K295" s="149" t="s">
        <v>809</v>
      </c>
      <c r="L295" s="149" t="s">
        <v>83</v>
      </c>
      <c r="M295" s="149" t="s">
        <v>849</v>
      </c>
      <c r="N295" s="149" t="s">
        <v>91</v>
      </c>
      <c r="O295" s="149" t="s">
        <v>91</v>
      </c>
      <c r="P295" s="149" t="s">
        <v>91</v>
      </c>
      <c r="Q295" s="149">
        <v>11.5</v>
      </c>
      <c r="R295" s="149" t="s">
        <v>72</v>
      </c>
      <c r="S295" s="149" t="s">
        <v>73</v>
      </c>
      <c r="T295" s="149" t="s">
        <v>74</v>
      </c>
      <c r="U295" s="175">
        <v>4874388</v>
      </c>
      <c r="V295" s="175">
        <v>4874388</v>
      </c>
      <c r="W295" s="149" t="s">
        <v>75</v>
      </c>
      <c r="X295" s="149" t="s">
        <v>67</v>
      </c>
      <c r="Y295" s="149" t="s">
        <v>811</v>
      </c>
      <c r="Z295" s="149" t="s">
        <v>812</v>
      </c>
      <c r="AA295" s="149">
        <v>6012220601</v>
      </c>
      <c r="AB295" s="172" t="s">
        <v>813</v>
      </c>
      <c r="AC295" s="35"/>
      <c r="AD295" s="35"/>
      <c r="AE295" s="35">
        <v>4874388</v>
      </c>
      <c r="AF295" s="35"/>
      <c r="AG295" s="35"/>
      <c r="AH295" s="76"/>
      <c r="AI295" s="35"/>
      <c r="AJ295" s="35"/>
      <c r="AK295" s="35"/>
      <c r="AL295" s="35"/>
      <c r="AM295" s="35"/>
      <c r="AN295" s="35"/>
      <c r="AO295" s="35"/>
      <c r="AP295" s="35"/>
      <c r="AQ295" s="35"/>
      <c r="AR295" s="35"/>
      <c r="AS295" s="35"/>
      <c r="AT295" s="35"/>
      <c r="AU295" s="15"/>
      <c r="AV295" s="15"/>
      <c r="AW295" s="15"/>
      <c r="AX295" s="15"/>
      <c r="AY295" s="15"/>
      <c r="AZ295" s="15">
        <v>4874388</v>
      </c>
      <c r="BA295" s="17"/>
      <c r="BB295" s="17"/>
      <c r="BC295" s="18">
        <f t="shared" si="251"/>
        <v>4874388</v>
      </c>
      <c r="BD295" s="18">
        <f t="shared" si="252"/>
        <v>4874388</v>
      </c>
      <c r="BE295" s="19">
        <f t="shared" si="253"/>
        <v>0</v>
      </c>
      <c r="BF295" s="20">
        <f t="shared" si="254"/>
        <v>0</v>
      </c>
      <c r="BG295" s="20">
        <f t="shared" si="255"/>
        <v>0</v>
      </c>
    </row>
    <row r="296" spans="1:59" ht="14.25" customHeight="1">
      <c r="A296" s="149" t="s">
        <v>59</v>
      </c>
      <c r="B296" s="149" t="s">
        <v>804</v>
      </c>
      <c r="C296" s="151" t="s">
        <v>805</v>
      </c>
      <c r="D296" s="166" t="s">
        <v>62</v>
      </c>
      <c r="E296" s="166">
        <v>3</v>
      </c>
      <c r="F296" s="149" t="s">
        <v>850</v>
      </c>
      <c r="G296" s="149" t="s">
        <v>841</v>
      </c>
      <c r="H296" s="149" t="s">
        <v>842</v>
      </c>
      <c r="I296" s="149" t="s">
        <v>288</v>
      </c>
      <c r="J296" s="173">
        <v>80111620</v>
      </c>
      <c r="K296" s="149" t="s">
        <v>809</v>
      </c>
      <c r="L296" s="149" t="s">
        <v>83</v>
      </c>
      <c r="M296" s="149" t="s">
        <v>851</v>
      </c>
      <c r="N296" s="149" t="s">
        <v>91</v>
      </c>
      <c r="O296" s="149" t="s">
        <v>91</v>
      </c>
      <c r="P296" s="149" t="s">
        <v>91</v>
      </c>
      <c r="Q296" s="149">
        <v>11</v>
      </c>
      <c r="R296" s="149" t="s">
        <v>72</v>
      </c>
      <c r="S296" s="149" t="s">
        <v>73</v>
      </c>
      <c r="T296" s="149" t="s">
        <v>74</v>
      </c>
      <c r="U296" s="175">
        <v>44000000</v>
      </c>
      <c r="V296" s="175">
        <v>44000000</v>
      </c>
      <c r="W296" s="149" t="s">
        <v>75</v>
      </c>
      <c r="X296" s="149" t="s">
        <v>67</v>
      </c>
      <c r="Y296" s="149" t="s">
        <v>811</v>
      </c>
      <c r="Z296" s="149" t="s">
        <v>812</v>
      </c>
      <c r="AA296" s="149">
        <v>6012220601</v>
      </c>
      <c r="AB296" s="172" t="s">
        <v>813</v>
      </c>
      <c r="AC296" s="35">
        <v>44000000</v>
      </c>
      <c r="AD296" s="35"/>
      <c r="AE296" s="35"/>
      <c r="AF296" s="35"/>
      <c r="AG296" s="35"/>
      <c r="AH296" s="76">
        <v>4000000</v>
      </c>
      <c r="AI296" s="35"/>
      <c r="AJ296" s="35">
        <v>4000000</v>
      </c>
      <c r="AK296" s="35"/>
      <c r="AL296" s="35">
        <v>4000000</v>
      </c>
      <c r="AM296" s="35"/>
      <c r="AN296" s="35">
        <v>4000000</v>
      </c>
      <c r="AO296" s="35"/>
      <c r="AP296" s="35">
        <v>4000000</v>
      </c>
      <c r="AQ296" s="35"/>
      <c r="AR296" s="35">
        <v>4000000</v>
      </c>
      <c r="AS296" s="35"/>
      <c r="AT296" s="35">
        <v>4000000</v>
      </c>
      <c r="AU296" s="15"/>
      <c r="AV296" s="15">
        <v>4000000</v>
      </c>
      <c r="AW296" s="15"/>
      <c r="AX296" s="15">
        <v>4000000</v>
      </c>
      <c r="AY296" s="15"/>
      <c r="AZ296" s="15">
        <v>8000000</v>
      </c>
      <c r="BA296" s="17"/>
      <c r="BB296" s="17"/>
      <c r="BC296" s="18">
        <f t="shared" si="251"/>
        <v>44000000</v>
      </c>
      <c r="BD296" s="18">
        <f t="shared" si="252"/>
        <v>44000000</v>
      </c>
      <c r="BE296" s="19">
        <f t="shared" si="253"/>
        <v>0</v>
      </c>
      <c r="BF296" s="20">
        <f t="shared" si="254"/>
        <v>0</v>
      </c>
      <c r="BG296" s="20">
        <f t="shared" si="255"/>
        <v>0</v>
      </c>
    </row>
    <row r="297" spans="1:59" ht="14.25" customHeight="1">
      <c r="A297" s="147" t="s">
        <v>59</v>
      </c>
      <c r="B297" s="147" t="s">
        <v>804</v>
      </c>
      <c r="C297" s="151" t="s">
        <v>805</v>
      </c>
      <c r="D297" s="151" t="s">
        <v>62</v>
      </c>
      <c r="E297" s="151">
        <v>27</v>
      </c>
      <c r="F297" s="149" t="s">
        <v>852</v>
      </c>
      <c r="G297" s="147" t="s">
        <v>841</v>
      </c>
      <c r="H297" s="147" t="s">
        <v>842</v>
      </c>
      <c r="I297" s="147" t="s">
        <v>288</v>
      </c>
      <c r="J297" s="164">
        <v>80111620</v>
      </c>
      <c r="K297" s="147" t="s">
        <v>809</v>
      </c>
      <c r="L297" s="147" t="s">
        <v>83</v>
      </c>
      <c r="M297" s="147" t="s">
        <v>853</v>
      </c>
      <c r="N297" s="147" t="s">
        <v>128</v>
      </c>
      <c r="O297" s="147" t="s">
        <v>128</v>
      </c>
      <c r="P297" s="147" t="s">
        <v>100</v>
      </c>
      <c r="Q297" s="147">
        <v>6.5</v>
      </c>
      <c r="R297" s="147" t="s">
        <v>72</v>
      </c>
      <c r="S297" s="147" t="s">
        <v>73</v>
      </c>
      <c r="T297" s="147" t="s">
        <v>74</v>
      </c>
      <c r="U297" s="148">
        <v>22966667</v>
      </c>
      <c r="V297" s="148">
        <v>22966667</v>
      </c>
      <c r="W297" s="147" t="s">
        <v>75</v>
      </c>
      <c r="X297" s="147" t="s">
        <v>67</v>
      </c>
      <c r="Y297" s="147" t="s">
        <v>811</v>
      </c>
      <c r="Z297" s="147" t="s">
        <v>812</v>
      </c>
      <c r="AA297" s="147">
        <v>6012220601</v>
      </c>
      <c r="AB297" s="160" t="s">
        <v>813</v>
      </c>
      <c r="AC297" s="14"/>
      <c r="AD297" s="14"/>
      <c r="AE297" s="14"/>
      <c r="AF297" s="14"/>
      <c r="AG297" s="14"/>
      <c r="AH297" s="62"/>
      <c r="AI297" s="14"/>
      <c r="AJ297" s="14"/>
      <c r="AK297" s="14"/>
      <c r="AL297" s="14"/>
      <c r="AM297" s="14"/>
      <c r="AN297" s="14"/>
      <c r="AO297" s="14">
        <v>22966667</v>
      </c>
      <c r="AP297" s="14"/>
      <c r="AQ297" s="14"/>
      <c r="AR297" s="14"/>
      <c r="AS297" s="14"/>
      <c r="AT297" s="14">
        <v>5000000</v>
      </c>
      <c r="AU297" s="15"/>
      <c r="AV297" s="15">
        <v>5000000</v>
      </c>
      <c r="AW297" s="15"/>
      <c r="AX297" s="15">
        <v>5000000</v>
      </c>
      <c r="AY297" s="15"/>
      <c r="AZ297" s="15">
        <v>7966667</v>
      </c>
      <c r="BA297" s="17"/>
      <c r="BB297" s="17"/>
      <c r="BC297" s="18">
        <f t="shared" si="251"/>
        <v>22966667</v>
      </c>
      <c r="BD297" s="18">
        <f t="shared" si="252"/>
        <v>22966667</v>
      </c>
      <c r="BE297" s="19">
        <f t="shared" si="253"/>
        <v>0</v>
      </c>
      <c r="BF297" s="20">
        <f t="shared" si="254"/>
        <v>0</v>
      </c>
      <c r="BG297" s="20">
        <f t="shared" si="255"/>
        <v>0</v>
      </c>
    </row>
    <row r="298" spans="1:59" ht="14.25" customHeight="1">
      <c r="A298" s="147" t="s">
        <v>59</v>
      </c>
      <c r="B298" s="147" t="s">
        <v>804</v>
      </c>
      <c r="C298" s="151" t="s">
        <v>805</v>
      </c>
      <c r="D298" s="151" t="s">
        <v>62</v>
      </c>
      <c r="E298" s="151" t="s">
        <v>114</v>
      </c>
      <c r="F298" s="149" t="s">
        <v>854</v>
      </c>
      <c r="G298" s="147" t="s">
        <v>841</v>
      </c>
      <c r="H298" s="147" t="s">
        <v>842</v>
      </c>
      <c r="I298" s="147" t="s">
        <v>288</v>
      </c>
      <c r="J298" s="164">
        <v>80111620</v>
      </c>
      <c r="K298" s="147" t="s">
        <v>809</v>
      </c>
      <c r="L298" s="147" t="s">
        <v>83</v>
      </c>
      <c r="M298" s="147" t="s">
        <v>855</v>
      </c>
      <c r="N298" s="147" t="s">
        <v>91</v>
      </c>
      <c r="O298" s="147" t="s">
        <v>91</v>
      </c>
      <c r="P298" s="147" t="s">
        <v>91</v>
      </c>
      <c r="Q298" s="147">
        <v>11.5</v>
      </c>
      <c r="R298" s="147" t="s">
        <v>72</v>
      </c>
      <c r="S298" s="147" t="s">
        <v>73</v>
      </c>
      <c r="T298" s="147" t="s">
        <v>74</v>
      </c>
      <c r="U298" s="148">
        <v>77357740</v>
      </c>
      <c r="V298" s="148">
        <v>77357740</v>
      </c>
      <c r="W298" s="147" t="s">
        <v>75</v>
      </c>
      <c r="X298" s="147" t="s">
        <v>67</v>
      </c>
      <c r="Y298" s="147" t="s">
        <v>811</v>
      </c>
      <c r="Z298" s="147" t="s">
        <v>812</v>
      </c>
      <c r="AA298" s="147">
        <v>6012220601</v>
      </c>
      <c r="AB298" s="160" t="s">
        <v>813</v>
      </c>
      <c r="AC298" s="14">
        <v>77357740</v>
      </c>
      <c r="AD298" s="14"/>
      <c r="AE298" s="14"/>
      <c r="AF298" s="14">
        <v>3363380</v>
      </c>
      <c r="AG298" s="14"/>
      <c r="AH298" s="62">
        <v>6726760</v>
      </c>
      <c r="AI298" s="14"/>
      <c r="AJ298" s="14">
        <v>6726760</v>
      </c>
      <c r="AK298" s="14"/>
      <c r="AL298" s="14">
        <v>6726760</v>
      </c>
      <c r="AM298" s="14"/>
      <c r="AN298" s="14">
        <v>6726760</v>
      </c>
      <c r="AO298" s="14"/>
      <c r="AP298" s="14">
        <v>6726760</v>
      </c>
      <c r="AQ298" s="14"/>
      <c r="AR298" s="14">
        <v>6726760</v>
      </c>
      <c r="AS298" s="14"/>
      <c r="AT298" s="14">
        <v>6726760</v>
      </c>
      <c r="AU298" s="25"/>
      <c r="AV298" s="25">
        <v>6726760</v>
      </c>
      <c r="AW298" s="25"/>
      <c r="AX298" s="25">
        <v>6726760</v>
      </c>
      <c r="AY298" s="25"/>
      <c r="AZ298" s="25">
        <v>13453520</v>
      </c>
      <c r="BA298" s="17"/>
      <c r="BB298" s="17"/>
      <c r="BC298" s="18">
        <f t="shared" si="251"/>
        <v>77357740</v>
      </c>
      <c r="BD298" s="18">
        <f t="shared" si="252"/>
        <v>77357740</v>
      </c>
      <c r="BE298" s="19">
        <f t="shared" si="253"/>
        <v>0</v>
      </c>
      <c r="BF298" s="20">
        <f t="shared" si="254"/>
        <v>0</v>
      </c>
      <c r="BG298" s="20">
        <f t="shared" si="255"/>
        <v>0</v>
      </c>
    </row>
    <row r="299" spans="1:59" ht="14.25" customHeight="1">
      <c r="A299" s="147" t="s">
        <v>59</v>
      </c>
      <c r="B299" s="147" t="s">
        <v>804</v>
      </c>
      <c r="C299" s="151" t="s">
        <v>805</v>
      </c>
      <c r="D299" s="151" t="s">
        <v>62</v>
      </c>
      <c r="E299" s="151">
        <v>27</v>
      </c>
      <c r="F299" s="149" t="s">
        <v>856</v>
      </c>
      <c r="G299" s="147" t="s">
        <v>841</v>
      </c>
      <c r="H299" s="147" t="s">
        <v>842</v>
      </c>
      <c r="I299" s="147" t="s">
        <v>288</v>
      </c>
      <c r="J299" s="164">
        <v>80111620</v>
      </c>
      <c r="K299" s="147" t="s">
        <v>809</v>
      </c>
      <c r="L299" s="147" t="s">
        <v>83</v>
      </c>
      <c r="M299" s="147" t="s">
        <v>857</v>
      </c>
      <c r="N299" s="147" t="s">
        <v>91</v>
      </c>
      <c r="O299" s="147" t="s">
        <v>91</v>
      </c>
      <c r="P299" s="147" t="s">
        <v>91</v>
      </c>
      <c r="Q299" s="147">
        <v>11</v>
      </c>
      <c r="R299" s="147" t="s">
        <v>72</v>
      </c>
      <c r="S299" s="147" t="s">
        <v>73</v>
      </c>
      <c r="T299" s="147" t="s">
        <v>74</v>
      </c>
      <c r="U299" s="148">
        <v>78100000</v>
      </c>
      <c r="V299" s="148">
        <v>78100000</v>
      </c>
      <c r="W299" s="147" t="s">
        <v>75</v>
      </c>
      <c r="X299" s="147" t="s">
        <v>67</v>
      </c>
      <c r="Y299" s="147" t="s">
        <v>811</v>
      </c>
      <c r="Z299" s="147" t="s">
        <v>812</v>
      </c>
      <c r="AA299" s="147">
        <v>6012220601</v>
      </c>
      <c r="AB299" s="160" t="s">
        <v>813</v>
      </c>
      <c r="AC299" s="14">
        <v>78100000</v>
      </c>
      <c r="AD299" s="14"/>
      <c r="AE299" s="14"/>
      <c r="AF299" s="14"/>
      <c r="AG299" s="14"/>
      <c r="AH299" s="62">
        <v>7100000</v>
      </c>
      <c r="AI299" s="14"/>
      <c r="AJ299" s="14">
        <v>7100000</v>
      </c>
      <c r="AK299" s="14"/>
      <c r="AL299" s="14">
        <v>7100000</v>
      </c>
      <c r="AM299" s="14"/>
      <c r="AN299" s="14">
        <v>7100000</v>
      </c>
      <c r="AO299" s="14"/>
      <c r="AP299" s="14">
        <v>7100000</v>
      </c>
      <c r="AQ299" s="14"/>
      <c r="AR299" s="14">
        <v>7100000</v>
      </c>
      <c r="AS299" s="14"/>
      <c r="AT299" s="14">
        <v>7100000</v>
      </c>
      <c r="AU299" s="15"/>
      <c r="AV299" s="15">
        <v>7100000</v>
      </c>
      <c r="AW299" s="15"/>
      <c r="AX299" s="15">
        <v>7100000</v>
      </c>
      <c r="AY299" s="15"/>
      <c r="AZ299" s="15">
        <v>14200000</v>
      </c>
      <c r="BA299" s="17"/>
      <c r="BB299" s="17"/>
      <c r="BC299" s="18">
        <f t="shared" si="251"/>
        <v>78100000</v>
      </c>
      <c r="BD299" s="18">
        <f t="shared" si="252"/>
        <v>78100000</v>
      </c>
      <c r="BE299" s="19">
        <f t="shared" si="253"/>
        <v>0</v>
      </c>
      <c r="BF299" s="20">
        <f t="shared" si="254"/>
        <v>0</v>
      </c>
      <c r="BG299" s="20">
        <f t="shared" si="255"/>
        <v>0</v>
      </c>
    </row>
    <row r="300" spans="1:59" ht="14.25" customHeight="1">
      <c r="A300" s="147" t="s">
        <v>59</v>
      </c>
      <c r="B300" s="147" t="s">
        <v>804</v>
      </c>
      <c r="C300" s="151" t="s">
        <v>805</v>
      </c>
      <c r="D300" s="151" t="s">
        <v>62</v>
      </c>
      <c r="E300" s="151">
        <v>27</v>
      </c>
      <c r="F300" s="149" t="s">
        <v>858</v>
      </c>
      <c r="G300" s="147" t="s">
        <v>841</v>
      </c>
      <c r="H300" s="147" t="s">
        <v>842</v>
      </c>
      <c r="I300" s="147" t="s">
        <v>288</v>
      </c>
      <c r="J300" s="164">
        <v>80111620</v>
      </c>
      <c r="K300" s="147" t="s">
        <v>809</v>
      </c>
      <c r="L300" s="147" t="s">
        <v>83</v>
      </c>
      <c r="M300" s="149" t="s">
        <v>859</v>
      </c>
      <c r="N300" s="147" t="s">
        <v>91</v>
      </c>
      <c r="O300" s="147" t="s">
        <v>91</v>
      </c>
      <c r="P300" s="147" t="s">
        <v>91</v>
      </c>
      <c r="Q300" s="147">
        <v>11.5</v>
      </c>
      <c r="R300" s="147" t="s">
        <v>72</v>
      </c>
      <c r="S300" s="147" t="s">
        <v>73</v>
      </c>
      <c r="T300" s="147" t="s">
        <v>74</v>
      </c>
      <c r="U300" s="148">
        <v>66825753</v>
      </c>
      <c r="V300" s="148">
        <v>66825753</v>
      </c>
      <c r="W300" s="147" t="s">
        <v>75</v>
      </c>
      <c r="X300" s="147" t="s">
        <v>67</v>
      </c>
      <c r="Y300" s="147" t="s">
        <v>811</v>
      </c>
      <c r="Z300" s="147" t="s">
        <v>812</v>
      </c>
      <c r="AA300" s="147">
        <v>6012220601</v>
      </c>
      <c r="AB300" s="160" t="s">
        <v>813</v>
      </c>
      <c r="AC300" s="14">
        <v>67692420</v>
      </c>
      <c r="AD300" s="14"/>
      <c r="AE300" s="14">
        <v>-866667</v>
      </c>
      <c r="AF300" s="14">
        <v>2383333</v>
      </c>
      <c r="AG300" s="14"/>
      <c r="AH300" s="62">
        <v>6500000</v>
      </c>
      <c r="AI300" s="14"/>
      <c r="AJ300" s="14">
        <v>6500000</v>
      </c>
      <c r="AK300" s="14"/>
      <c r="AL300" s="14">
        <v>6500000</v>
      </c>
      <c r="AM300" s="14"/>
      <c r="AN300" s="14">
        <v>6500000</v>
      </c>
      <c r="AO300" s="14"/>
      <c r="AP300" s="14">
        <v>6500000</v>
      </c>
      <c r="AQ300" s="14"/>
      <c r="AR300" s="14">
        <v>6500000</v>
      </c>
      <c r="AS300" s="14"/>
      <c r="AT300" s="14">
        <v>6500000</v>
      </c>
      <c r="AU300" s="25"/>
      <c r="AV300" s="25">
        <v>6500000</v>
      </c>
      <c r="AW300" s="25"/>
      <c r="AX300" s="25">
        <v>6500000</v>
      </c>
      <c r="AY300" s="25"/>
      <c r="AZ300" s="21">
        <v>5942420</v>
      </c>
      <c r="BA300" s="17"/>
      <c r="BB300" s="17"/>
      <c r="BC300" s="18">
        <f t="shared" si="251"/>
        <v>66825753</v>
      </c>
      <c r="BD300" s="18">
        <f t="shared" si="252"/>
        <v>66825753</v>
      </c>
      <c r="BE300" s="19">
        <f t="shared" si="253"/>
        <v>0</v>
      </c>
      <c r="BF300" s="20">
        <f t="shared" si="254"/>
        <v>0</v>
      </c>
      <c r="BG300" s="20">
        <f t="shared" si="255"/>
        <v>0</v>
      </c>
    </row>
    <row r="301" spans="1:59" ht="14.25" customHeight="1">
      <c r="A301" s="147" t="s">
        <v>59</v>
      </c>
      <c r="B301" s="147" t="s">
        <v>804</v>
      </c>
      <c r="C301" s="151" t="s">
        <v>805</v>
      </c>
      <c r="D301" s="151" t="s">
        <v>62</v>
      </c>
      <c r="E301" s="151" t="s">
        <v>114</v>
      </c>
      <c r="F301" s="149" t="s">
        <v>860</v>
      </c>
      <c r="G301" s="147" t="s">
        <v>841</v>
      </c>
      <c r="H301" s="147" t="s">
        <v>842</v>
      </c>
      <c r="I301" s="147" t="s">
        <v>819</v>
      </c>
      <c r="J301" s="164">
        <v>80111620</v>
      </c>
      <c r="K301" s="147" t="s">
        <v>809</v>
      </c>
      <c r="L301" s="147" t="s">
        <v>83</v>
      </c>
      <c r="M301" s="147" t="s">
        <v>861</v>
      </c>
      <c r="N301" s="147" t="s">
        <v>91</v>
      </c>
      <c r="O301" s="147" t="s">
        <v>91</v>
      </c>
      <c r="P301" s="147" t="s">
        <v>91</v>
      </c>
      <c r="Q301" s="147">
        <v>11.5</v>
      </c>
      <c r="R301" s="147" t="s">
        <v>72</v>
      </c>
      <c r="S301" s="147" t="s">
        <v>73</v>
      </c>
      <c r="T301" s="147" t="s">
        <v>74</v>
      </c>
      <c r="U301" s="148">
        <v>7057580</v>
      </c>
      <c r="V301" s="148">
        <v>7057580</v>
      </c>
      <c r="W301" s="147" t="s">
        <v>75</v>
      </c>
      <c r="X301" s="147" t="s">
        <v>67</v>
      </c>
      <c r="Y301" s="147" t="s">
        <v>811</v>
      </c>
      <c r="Z301" s="147" t="s">
        <v>812</v>
      </c>
      <c r="AA301" s="147">
        <v>6012220601</v>
      </c>
      <c r="AB301" s="160" t="s">
        <v>813</v>
      </c>
      <c r="AC301" s="14">
        <v>7057580</v>
      </c>
      <c r="AD301" s="14"/>
      <c r="AE301" s="14"/>
      <c r="AF301" s="14"/>
      <c r="AG301" s="14"/>
      <c r="AH301" s="62"/>
      <c r="AI301" s="14"/>
      <c r="AJ301" s="14"/>
      <c r="AK301" s="14"/>
      <c r="AL301" s="14"/>
      <c r="AM301" s="14"/>
      <c r="AN301" s="14"/>
      <c r="AO301" s="14"/>
      <c r="AP301" s="14"/>
      <c r="AQ301" s="14"/>
      <c r="AR301" s="14"/>
      <c r="AS301" s="14"/>
      <c r="AT301" s="14"/>
      <c r="AU301" s="25"/>
      <c r="AV301" s="25"/>
      <c r="AW301" s="25"/>
      <c r="AX301" s="25"/>
      <c r="AY301" s="25"/>
      <c r="AZ301" s="27">
        <v>7057580</v>
      </c>
      <c r="BA301" s="17"/>
      <c r="BB301" s="17"/>
      <c r="BC301" s="18">
        <f t="shared" si="251"/>
        <v>7057580</v>
      </c>
      <c r="BD301" s="18">
        <f t="shared" si="252"/>
        <v>7057580</v>
      </c>
      <c r="BE301" s="19">
        <f t="shared" si="253"/>
        <v>0</v>
      </c>
      <c r="BF301" s="20">
        <f t="shared" si="254"/>
        <v>0</v>
      </c>
      <c r="BG301" s="20">
        <f t="shared" si="255"/>
        <v>0</v>
      </c>
    </row>
    <row r="302" spans="1:59" ht="14.25" customHeight="1">
      <c r="A302" s="147" t="s">
        <v>59</v>
      </c>
      <c r="B302" s="147" t="s">
        <v>804</v>
      </c>
      <c r="C302" s="151" t="s">
        <v>805</v>
      </c>
      <c r="D302" s="151" t="s">
        <v>62</v>
      </c>
      <c r="E302" s="151">
        <v>27</v>
      </c>
      <c r="F302" s="149" t="s">
        <v>862</v>
      </c>
      <c r="G302" s="147" t="s">
        <v>841</v>
      </c>
      <c r="H302" s="147" t="s">
        <v>842</v>
      </c>
      <c r="I302" s="147" t="s">
        <v>819</v>
      </c>
      <c r="J302" s="164">
        <v>80111620</v>
      </c>
      <c r="K302" s="147" t="s">
        <v>809</v>
      </c>
      <c r="L302" s="147" t="s">
        <v>83</v>
      </c>
      <c r="M302" s="149" t="s">
        <v>863</v>
      </c>
      <c r="N302" s="147" t="s">
        <v>91</v>
      </c>
      <c r="O302" s="147" t="s">
        <v>91</v>
      </c>
      <c r="P302" s="147" t="s">
        <v>91</v>
      </c>
      <c r="Q302" s="147">
        <v>11</v>
      </c>
      <c r="R302" s="147" t="s">
        <v>72</v>
      </c>
      <c r="S302" s="147" t="s">
        <v>73</v>
      </c>
      <c r="T302" s="147" t="s">
        <v>74</v>
      </c>
      <c r="U302" s="148">
        <v>42468876</v>
      </c>
      <c r="V302" s="148">
        <v>42468876</v>
      </c>
      <c r="W302" s="147" t="s">
        <v>75</v>
      </c>
      <c r="X302" s="147" t="s">
        <v>67</v>
      </c>
      <c r="Y302" s="147" t="s">
        <v>811</v>
      </c>
      <c r="Z302" s="147" t="s">
        <v>812</v>
      </c>
      <c r="AA302" s="147">
        <v>6012220601</v>
      </c>
      <c r="AB302" s="160" t="s">
        <v>813</v>
      </c>
      <c r="AC302" s="14">
        <v>40293000</v>
      </c>
      <c r="AD302" s="14"/>
      <c r="AE302" s="14"/>
      <c r="AF302" s="14"/>
      <c r="AG302" s="14">
        <v>-363000</v>
      </c>
      <c r="AH302" s="62">
        <v>3630000</v>
      </c>
      <c r="AI302" s="14"/>
      <c r="AJ302" s="14">
        <v>3630000</v>
      </c>
      <c r="AK302" s="14"/>
      <c r="AL302" s="14">
        <v>3630000</v>
      </c>
      <c r="AM302" s="14"/>
      <c r="AN302" s="14">
        <v>3630000</v>
      </c>
      <c r="AO302" s="14">
        <f>2175876+363000</f>
        <v>2538876</v>
      </c>
      <c r="AP302" s="14">
        <v>3630000</v>
      </c>
      <c r="AQ302" s="14"/>
      <c r="AR302" s="14">
        <v>3630000</v>
      </c>
      <c r="AS302" s="14"/>
      <c r="AT302" s="14">
        <v>3630000</v>
      </c>
      <c r="AU302" s="15"/>
      <c r="AV302" s="15">
        <v>3630000</v>
      </c>
      <c r="AW302" s="15"/>
      <c r="AX302" s="15">
        <v>3630000</v>
      </c>
      <c r="AY302" s="15"/>
      <c r="AZ302" s="15">
        <v>9798876</v>
      </c>
      <c r="BA302" s="17"/>
      <c r="BB302" s="17"/>
      <c r="BC302" s="18">
        <f t="shared" si="251"/>
        <v>42468876</v>
      </c>
      <c r="BD302" s="18">
        <f t="shared" si="252"/>
        <v>42468876</v>
      </c>
      <c r="BE302" s="19">
        <f t="shared" si="253"/>
        <v>0</v>
      </c>
      <c r="BF302" s="20">
        <f t="shared" si="254"/>
        <v>0</v>
      </c>
      <c r="BG302" s="20">
        <f t="shared" si="255"/>
        <v>0</v>
      </c>
    </row>
    <row r="303" spans="1:59" ht="14.25" customHeight="1">
      <c r="A303" s="147" t="s">
        <v>59</v>
      </c>
      <c r="B303" s="147" t="s">
        <v>804</v>
      </c>
      <c r="C303" s="151" t="s">
        <v>805</v>
      </c>
      <c r="D303" s="151" t="s">
        <v>62</v>
      </c>
      <c r="E303" s="151">
        <v>27</v>
      </c>
      <c r="F303" s="149" t="s">
        <v>864</v>
      </c>
      <c r="G303" s="147" t="s">
        <v>841</v>
      </c>
      <c r="H303" s="147" t="s">
        <v>842</v>
      </c>
      <c r="I303" s="147" t="s">
        <v>819</v>
      </c>
      <c r="J303" s="164">
        <v>43232605</v>
      </c>
      <c r="K303" s="147" t="s">
        <v>809</v>
      </c>
      <c r="L303" s="147" t="s">
        <v>838</v>
      </c>
      <c r="M303" s="149" t="s">
        <v>865</v>
      </c>
      <c r="N303" s="147" t="s">
        <v>127</v>
      </c>
      <c r="O303" s="147" t="s">
        <v>128</v>
      </c>
      <c r="P303" s="147" t="s">
        <v>128</v>
      </c>
      <c r="Q303" s="147">
        <v>12</v>
      </c>
      <c r="R303" s="147" t="s">
        <v>72</v>
      </c>
      <c r="S303" s="147" t="s">
        <v>143</v>
      </c>
      <c r="T303" s="147" t="s">
        <v>74</v>
      </c>
      <c r="U303" s="148">
        <v>27997791</v>
      </c>
      <c r="V303" s="148">
        <v>27997791</v>
      </c>
      <c r="W303" s="147" t="s">
        <v>75</v>
      </c>
      <c r="X303" s="147" t="s">
        <v>67</v>
      </c>
      <c r="Y303" s="147" t="s">
        <v>811</v>
      </c>
      <c r="Z303" s="147" t="s">
        <v>812</v>
      </c>
      <c r="AA303" s="147">
        <v>6012220601</v>
      </c>
      <c r="AB303" s="160" t="s">
        <v>813</v>
      </c>
      <c r="AC303" s="14"/>
      <c r="AD303" s="14"/>
      <c r="AE303" s="14"/>
      <c r="AF303" s="14"/>
      <c r="AG303" s="14"/>
      <c r="AH303" s="62"/>
      <c r="AI303" s="14"/>
      <c r="AJ303" s="14"/>
      <c r="AK303" s="14"/>
      <c r="AL303" s="14"/>
      <c r="AM303" s="14">
        <v>27997791</v>
      </c>
      <c r="AN303" s="14"/>
      <c r="AO303" s="14"/>
      <c r="AP303" s="14">
        <v>27997791</v>
      </c>
      <c r="AQ303" s="14"/>
      <c r="AR303" s="14"/>
      <c r="AS303" s="14"/>
      <c r="AT303" s="14"/>
      <c r="AU303" s="15"/>
      <c r="AV303" s="15"/>
      <c r="AW303" s="15"/>
      <c r="AX303" s="15"/>
      <c r="AY303" s="15"/>
      <c r="AZ303" s="15"/>
      <c r="BA303" s="17"/>
      <c r="BB303" s="17"/>
      <c r="BC303" s="18">
        <f t="shared" si="251"/>
        <v>27997791</v>
      </c>
      <c r="BD303" s="18">
        <f t="shared" si="252"/>
        <v>27997791</v>
      </c>
      <c r="BE303" s="19">
        <f t="shared" si="253"/>
        <v>0</v>
      </c>
      <c r="BF303" s="20">
        <f t="shared" si="254"/>
        <v>0</v>
      </c>
      <c r="BG303" s="20">
        <f t="shared" si="255"/>
        <v>0</v>
      </c>
    </row>
    <row r="304" spans="1:59" ht="14.25" customHeight="1">
      <c r="A304" s="147" t="s">
        <v>59</v>
      </c>
      <c r="B304" s="147" t="s">
        <v>804</v>
      </c>
      <c r="C304" s="151" t="s">
        <v>805</v>
      </c>
      <c r="D304" s="151" t="s">
        <v>62</v>
      </c>
      <c r="E304" s="151">
        <v>4</v>
      </c>
      <c r="F304" s="149" t="s">
        <v>866</v>
      </c>
      <c r="G304" s="147" t="s">
        <v>841</v>
      </c>
      <c r="H304" s="147" t="s">
        <v>842</v>
      </c>
      <c r="I304" s="147" t="s">
        <v>819</v>
      </c>
      <c r="J304" s="164">
        <v>80111620</v>
      </c>
      <c r="K304" s="147" t="s">
        <v>809</v>
      </c>
      <c r="L304" s="147" t="s">
        <v>83</v>
      </c>
      <c r="M304" s="147" t="s">
        <v>867</v>
      </c>
      <c r="N304" s="147" t="s">
        <v>91</v>
      </c>
      <c r="O304" s="147" t="s">
        <v>91</v>
      </c>
      <c r="P304" s="147" t="s">
        <v>91</v>
      </c>
      <c r="Q304" s="147">
        <v>11.5</v>
      </c>
      <c r="R304" s="147" t="s">
        <v>72</v>
      </c>
      <c r="S304" s="147" t="s">
        <v>73</v>
      </c>
      <c r="T304" s="147" t="s">
        <v>74</v>
      </c>
      <c r="U304" s="148">
        <v>12397420</v>
      </c>
      <c r="V304" s="148">
        <v>12397420</v>
      </c>
      <c r="W304" s="147" t="s">
        <v>75</v>
      </c>
      <c r="X304" s="147" t="s">
        <v>67</v>
      </c>
      <c r="Y304" s="147" t="s">
        <v>811</v>
      </c>
      <c r="Z304" s="147" t="s">
        <v>812</v>
      </c>
      <c r="AA304" s="147">
        <v>6012220601</v>
      </c>
      <c r="AB304" s="160" t="s">
        <v>813</v>
      </c>
      <c r="AC304" s="14"/>
      <c r="AD304" s="14"/>
      <c r="AE304" s="14">
        <v>12397420</v>
      </c>
      <c r="AF304" s="14"/>
      <c r="AG304" s="14"/>
      <c r="AH304" s="62"/>
      <c r="AI304" s="14"/>
      <c r="AJ304" s="14"/>
      <c r="AK304" s="14"/>
      <c r="AL304" s="14"/>
      <c r="AM304" s="14"/>
      <c r="AN304" s="14"/>
      <c r="AO304" s="14"/>
      <c r="AP304" s="14"/>
      <c r="AQ304" s="14"/>
      <c r="AR304" s="14"/>
      <c r="AS304" s="14"/>
      <c r="AT304" s="14"/>
      <c r="AU304" s="15"/>
      <c r="AV304" s="15"/>
      <c r="AW304" s="15"/>
      <c r="AX304" s="15">
        <v>3771808</v>
      </c>
      <c r="AY304" s="15"/>
      <c r="AZ304" s="15">
        <v>8625612</v>
      </c>
      <c r="BA304" s="17"/>
      <c r="BB304" s="17"/>
      <c r="BC304" s="18">
        <f t="shared" si="251"/>
        <v>12397420</v>
      </c>
      <c r="BD304" s="18">
        <f t="shared" si="252"/>
        <v>12397420</v>
      </c>
      <c r="BE304" s="19">
        <f t="shared" si="253"/>
        <v>0</v>
      </c>
      <c r="BF304" s="20">
        <f t="shared" si="254"/>
        <v>0</v>
      </c>
      <c r="BG304" s="20">
        <f t="shared" si="255"/>
        <v>0</v>
      </c>
    </row>
    <row r="305" spans="1:59" ht="14.25" customHeight="1">
      <c r="A305" s="147" t="s">
        <v>59</v>
      </c>
      <c r="B305" s="147" t="s">
        <v>804</v>
      </c>
      <c r="C305" s="151" t="s">
        <v>805</v>
      </c>
      <c r="D305" s="151" t="s">
        <v>62</v>
      </c>
      <c r="E305" s="151">
        <v>44</v>
      </c>
      <c r="F305" s="149" t="s">
        <v>868</v>
      </c>
      <c r="G305" s="147" t="s">
        <v>841</v>
      </c>
      <c r="H305" s="147" t="s">
        <v>869</v>
      </c>
      <c r="I305" s="147" t="s">
        <v>823</v>
      </c>
      <c r="J305" s="164">
        <v>80111620</v>
      </c>
      <c r="K305" s="147" t="s">
        <v>870</v>
      </c>
      <c r="L305" s="147" t="s">
        <v>83</v>
      </c>
      <c r="M305" s="147" t="s">
        <v>871</v>
      </c>
      <c r="N305" s="147" t="s">
        <v>71</v>
      </c>
      <c r="O305" s="147" t="s">
        <v>71</v>
      </c>
      <c r="P305" s="147" t="s">
        <v>71</v>
      </c>
      <c r="Q305" s="147">
        <v>3.7</v>
      </c>
      <c r="R305" s="147" t="s">
        <v>72</v>
      </c>
      <c r="S305" s="147" t="s">
        <v>73</v>
      </c>
      <c r="T305" s="147" t="s">
        <v>74</v>
      </c>
      <c r="U305" s="148">
        <v>27980000</v>
      </c>
      <c r="V305" s="148">
        <v>27980000</v>
      </c>
      <c r="W305" s="147" t="s">
        <v>75</v>
      </c>
      <c r="X305" s="147" t="s">
        <v>67</v>
      </c>
      <c r="Y305" s="147" t="s">
        <v>811</v>
      </c>
      <c r="Z305" s="147" t="s">
        <v>812</v>
      </c>
      <c r="AA305" s="147">
        <v>6012220601</v>
      </c>
      <c r="AB305" s="160" t="s">
        <v>813</v>
      </c>
      <c r="AC305" s="14"/>
      <c r="AD305" s="14"/>
      <c r="AE305" s="14"/>
      <c r="AF305" s="14"/>
      <c r="AG305" s="14"/>
      <c r="AH305" s="62"/>
      <c r="AI305" s="14"/>
      <c r="AJ305" s="14"/>
      <c r="AK305" s="14"/>
      <c r="AL305" s="14"/>
      <c r="AM305" s="14"/>
      <c r="AN305" s="14"/>
      <c r="AO305" s="14"/>
      <c r="AP305" s="14"/>
      <c r="AQ305" s="14"/>
      <c r="AR305" s="14"/>
      <c r="AS305" s="14"/>
      <c r="AT305" s="14"/>
      <c r="AU305" s="25"/>
      <c r="AV305" s="25"/>
      <c r="AW305" s="25"/>
      <c r="AX305" s="25"/>
      <c r="AY305" s="25"/>
      <c r="AZ305" s="21"/>
      <c r="BA305" s="33">
        <v>27980000</v>
      </c>
      <c r="BB305" s="33">
        <v>27980000</v>
      </c>
      <c r="BC305" s="18">
        <f t="shared" si="251"/>
        <v>27980000</v>
      </c>
      <c r="BD305" s="18">
        <f t="shared" si="252"/>
        <v>27980000</v>
      </c>
      <c r="BE305" s="19">
        <f t="shared" si="253"/>
        <v>0</v>
      </c>
      <c r="BF305" s="20">
        <f t="shared" si="254"/>
        <v>0</v>
      </c>
      <c r="BG305" s="20">
        <f t="shared" si="255"/>
        <v>0</v>
      </c>
    </row>
    <row r="306" spans="1:59" ht="15.75" customHeight="1">
      <c r="A306" s="147" t="s">
        <v>59</v>
      </c>
      <c r="B306" s="147" t="s">
        <v>804</v>
      </c>
      <c r="C306" s="151" t="s">
        <v>805</v>
      </c>
      <c r="D306" s="151" t="s">
        <v>62</v>
      </c>
      <c r="E306" s="151">
        <v>35</v>
      </c>
      <c r="F306" s="149" t="s">
        <v>872</v>
      </c>
      <c r="G306" s="147" t="s">
        <v>841</v>
      </c>
      <c r="H306" s="147" t="s">
        <v>869</v>
      </c>
      <c r="I306" s="147" t="s">
        <v>827</v>
      </c>
      <c r="J306" s="164">
        <v>80111620</v>
      </c>
      <c r="K306" s="147" t="s">
        <v>870</v>
      </c>
      <c r="L306" s="147" t="s">
        <v>83</v>
      </c>
      <c r="M306" s="147" t="s">
        <v>873</v>
      </c>
      <c r="N306" s="147" t="s">
        <v>100</v>
      </c>
      <c r="O306" s="147" t="s">
        <v>100</v>
      </c>
      <c r="P306" s="147" t="s">
        <v>100</v>
      </c>
      <c r="Q306" s="147">
        <v>6</v>
      </c>
      <c r="R306" s="147" t="s">
        <v>72</v>
      </c>
      <c r="S306" s="147" t="s">
        <v>73</v>
      </c>
      <c r="T306" s="147" t="s">
        <v>74</v>
      </c>
      <c r="U306" s="192">
        <v>32000000</v>
      </c>
      <c r="V306" s="148">
        <v>32000000</v>
      </c>
      <c r="W306" s="147" t="s">
        <v>75</v>
      </c>
      <c r="X306" s="147" t="s">
        <v>67</v>
      </c>
      <c r="Y306" s="147" t="s">
        <v>811</v>
      </c>
      <c r="Z306" s="147" t="s">
        <v>812</v>
      </c>
      <c r="AA306" s="147">
        <v>6012220601</v>
      </c>
      <c r="AB306" s="160" t="s">
        <v>813</v>
      </c>
      <c r="AC306" s="14"/>
      <c r="AD306" s="14"/>
      <c r="AE306" s="14"/>
      <c r="AF306" s="14"/>
      <c r="AG306" s="14"/>
      <c r="AH306" s="62"/>
      <c r="AI306" s="14"/>
      <c r="AJ306" s="14"/>
      <c r="AK306" s="14"/>
      <c r="AL306" s="14"/>
      <c r="AM306" s="14"/>
      <c r="AN306" s="14"/>
      <c r="AO306" s="14">
        <v>31200000</v>
      </c>
      <c r="AP306" s="14"/>
      <c r="AQ306" s="14"/>
      <c r="AR306" s="14"/>
      <c r="AS306" s="14">
        <v>-1200000</v>
      </c>
      <c r="AT306" s="14">
        <v>6000000</v>
      </c>
      <c r="AU306" s="28"/>
      <c r="AV306" s="25">
        <v>6000000</v>
      </c>
      <c r="AW306" s="25"/>
      <c r="AX306" s="25">
        <v>6000000</v>
      </c>
      <c r="AY306" s="25"/>
      <c r="AZ306" s="27">
        <v>12000000</v>
      </c>
      <c r="BA306" s="33">
        <v>2000000</v>
      </c>
      <c r="BB306" s="33">
        <v>2000000</v>
      </c>
      <c r="BC306" s="18">
        <f t="shared" si="251"/>
        <v>32000000</v>
      </c>
      <c r="BD306" s="18">
        <f t="shared" si="252"/>
        <v>32000000</v>
      </c>
      <c r="BE306" s="19">
        <f t="shared" si="253"/>
        <v>0</v>
      </c>
      <c r="BF306" s="20">
        <f t="shared" si="254"/>
        <v>0</v>
      </c>
      <c r="BG306" s="20">
        <f t="shared" si="255"/>
        <v>0</v>
      </c>
    </row>
    <row r="307" spans="1:59" ht="14.25" customHeight="1">
      <c r="A307" s="147" t="s">
        <v>59</v>
      </c>
      <c r="B307" s="147" t="s">
        <v>804</v>
      </c>
      <c r="C307" s="151" t="s">
        <v>805</v>
      </c>
      <c r="D307" s="151" t="s">
        <v>62</v>
      </c>
      <c r="E307" s="151">
        <v>6</v>
      </c>
      <c r="F307" s="149" t="s">
        <v>874</v>
      </c>
      <c r="G307" s="147" t="s">
        <v>841</v>
      </c>
      <c r="H307" s="147" t="s">
        <v>869</v>
      </c>
      <c r="I307" s="147" t="s">
        <v>827</v>
      </c>
      <c r="J307" s="164">
        <v>80111620</v>
      </c>
      <c r="K307" s="147" t="s">
        <v>870</v>
      </c>
      <c r="L307" s="147" t="s">
        <v>83</v>
      </c>
      <c r="M307" s="147" t="s">
        <v>875</v>
      </c>
      <c r="N307" s="147" t="s">
        <v>85</v>
      </c>
      <c r="O307" s="147" t="s">
        <v>85</v>
      </c>
      <c r="P307" s="149" t="s">
        <v>85</v>
      </c>
      <c r="Q307" s="147">
        <v>11</v>
      </c>
      <c r="R307" s="147" t="s">
        <v>72</v>
      </c>
      <c r="S307" s="147" t="s">
        <v>73</v>
      </c>
      <c r="T307" s="147" t="s">
        <v>74</v>
      </c>
      <c r="U307" s="148">
        <v>45000000</v>
      </c>
      <c r="V307" s="148">
        <v>45000000</v>
      </c>
      <c r="W307" s="147" t="s">
        <v>75</v>
      </c>
      <c r="X307" s="147" t="s">
        <v>67</v>
      </c>
      <c r="Y307" s="147" t="s">
        <v>811</v>
      </c>
      <c r="Z307" s="147" t="s">
        <v>812</v>
      </c>
      <c r="AA307" s="147">
        <v>6012220601</v>
      </c>
      <c r="AB307" s="160" t="s">
        <v>813</v>
      </c>
      <c r="AC307" s="14"/>
      <c r="AD307" s="14"/>
      <c r="AE307" s="14">
        <v>45000000</v>
      </c>
      <c r="AF307" s="14"/>
      <c r="AG307" s="14"/>
      <c r="AH307" s="62"/>
      <c r="AI307" s="14"/>
      <c r="AJ307" s="14">
        <v>13000000</v>
      </c>
      <c r="AK307" s="14"/>
      <c r="AL307" s="14">
        <v>13000000</v>
      </c>
      <c r="AM307" s="14"/>
      <c r="AN307" s="14">
        <v>13000000</v>
      </c>
      <c r="AO307" s="14"/>
      <c r="AP307" s="14"/>
      <c r="AQ307" s="14"/>
      <c r="AR307" s="14"/>
      <c r="AS307" s="14"/>
      <c r="AT307" s="14"/>
      <c r="AU307" s="15"/>
      <c r="AV307" s="15"/>
      <c r="AW307" s="15"/>
      <c r="AX307" s="15"/>
      <c r="AY307" s="15"/>
      <c r="AZ307" s="15">
        <v>6000000</v>
      </c>
      <c r="BA307" s="17"/>
      <c r="BB307" s="17"/>
      <c r="BC307" s="18">
        <f t="shared" si="251"/>
        <v>45000000</v>
      </c>
      <c r="BD307" s="18">
        <f t="shared" si="252"/>
        <v>45000000</v>
      </c>
      <c r="BE307" s="19">
        <f t="shared" si="253"/>
        <v>0</v>
      </c>
      <c r="BF307" s="20">
        <f t="shared" si="254"/>
        <v>0</v>
      </c>
      <c r="BG307" s="20">
        <f t="shared" si="255"/>
        <v>0</v>
      </c>
    </row>
    <row r="308" spans="1:59" ht="14.25" customHeight="1">
      <c r="A308" s="147" t="s">
        <v>59</v>
      </c>
      <c r="B308" s="147" t="s">
        <v>804</v>
      </c>
      <c r="C308" s="151" t="s">
        <v>805</v>
      </c>
      <c r="D308" s="151" t="s">
        <v>62</v>
      </c>
      <c r="E308" s="151">
        <v>35</v>
      </c>
      <c r="F308" s="149" t="s">
        <v>876</v>
      </c>
      <c r="G308" s="147" t="s">
        <v>841</v>
      </c>
      <c r="H308" s="147" t="s">
        <v>869</v>
      </c>
      <c r="I308" s="147" t="s">
        <v>827</v>
      </c>
      <c r="J308" s="173">
        <v>80111620</v>
      </c>
      <c r="K308" s="149" t="s">
        <v>870</v>
      </c>
      <c r="L308" s="149" t="s">
        <v>83</v>
      </c>
      <c r="M308" s="147" t="s">
        <v>877</v>
      </c>
      <c r="N308" s="147" t="s">
        <v>142</v>
      </c>
      <c r="O308" s="147" t="s">
        <v>142</v>
      </c>
      <c r="P308" s="147" t="s">
        <v>142</v>
      </c>
      <c r="Q308" s="147">
        <v>5</v>
      </c>
      <c r="R308" s="147" t="s">
        <v>72</v>
      </c>
      <c r="S308" s="147" t="s">
        <v>73</v>
      </c>
      <c r="T308" s="147" t="s">
        <v>74</v>
      </c>
      <c r="U308" s="192">
        <v>30000000</v>
      </c>
      <c r="V308" s="148">
        <v>30000000</v>
      </c>
      <c r="W308" s="147" t="s">
        <v>75</v>
      </c>
      <c r="X308" s="147" t="s">
        <v>67</v>
      </c>
      <c r="Y308" s="147" t="s">
        <v>811</v>
      </c>
      <c r="Z308" s="147" t="s">
        <v>812</v>
      </c>
      <c r="AA308" s="147">
        <v>6012220601</v>
      </c>
      <c r="AB308" s="160" t="s">
        <v>813</v>
      </c>
      <c r="AC308" s="14"/>
      <c r="AD308" s="14"/>
      <c r="AE308" s="14"/>
      <c r="AF308" s="14"/>
      <c r="AG308" s="14"/>
      <c r="AH308" s="62"/>
      <c r="AI308" s="14"/>
      <c r="AJ308" s="14"/>
      <c r="AK308" s="14"/>
      <c r="AL308" s="14"/>
      <c r="AM308" s="14"/>
      <c r="AN308" s="14"/>
      <c r="AO308" s="14"/>
      <c r="AP308" s="14"/>
      <c r="AQ308" s="14">
        <v>27000000</v>
      </c>
      <c r="AR308" s="14"/>
      <c r="AS308" s="14"/>
      <c r="AT308" s="14">
        <v>400000</v>
      </c>
      <c r="AU308" s="28">
        <v>-2600000</v>
      </c>
      <c r="AV308" s="25">
        <v>6000000</v>
      </c>
      <c r="AW308" s="25"/>
      <c r="AX308" s="25">
        <v>6000000</v>
      </c>
      <c r="AY308" s="25"/>
      <c r="AZ308" s="27">
        <v>12000000</v>
      </c>
      <c r="BA308" s="33">
        <v>5600000</v>
      </c>
      <c r="BB308" s="33">
        <v>5600000</v>
      </c>
      <c r="BC308" s="18">
        <f t="shared" si="251"/>
        <v>30000000</v>
      </c>
      <c r="BD308" s="18">
        <f t="shared" si="252"/>
        <v>30000000</v>
      </c>
      <c r="BE308" s="19">
        <f t="shared" si="253"/>
        <v>0</v>
      </c>
      <c r="BF308" s="20">
        <f t="shared" si="254"/>
        <v>0</v>
      </c>
      <c r="BG308" s="20">
        <f t="shared" si="255"/>
        <v>0</v>
      </c>
    </row>
    <row r="309" spans="1:59" ht="14.25" customHeight="1">
      <c r="A309" s="147" t="s">
        <v>59</v>
      </c>
      <c r="B309" s="147" t="s">
        <v>804</v>
      </c>
      <c r="C309" s="151" t="s">
        <v>805</v>
      </c>
      <c r="D309" s="151" t="s">
        <v>62</v>
      </c>
      <c r="E309" s="151">
        <v>3</v>
      </c>
      <c r="F309" s="149" t="s">
        <v>878</v>
      </c>
      <c r="G309" s="147" t="s">
        <v>841</v>
      </c>
      <c r="H309" s="147" t="s">
        <v>869</v>
      </c>
      <c r="I309" s="147" t="s">
        <v>827</v>
      </c>
      <c r="J309" s="173">
        <v>80111620</v>
      </c>
      <c r="K309" s="149" t="s">
        <v>870</v>
      </c>
      <c r="L309" s="149" t="s">
        <v>83</v>
      </c>
      <c r="M309" s="147" t="s">
        <v>879</v>
      </c>
      <c r="N309" s="147" t="s">
        <v>91</v>
      </c>
      <c r="O309" s="147" t="s">
        <v>91</v>
      </c>
      <c r="P309" s="147" t="s">
        <v>91</v>
      </c>
      <c r="Q309" s="147">
        <v>11.5</v>
      </c>
      <c r="R309" s="147" t="s">
        <v>72</v>
      </c>
      <c r="S309" s="147" t="s">
        <v>73</v>
      </c>
      <c r="T309" s="147" t="s">
        <v>74</v>
      </c>
      <c r="U309" s="148">
        <v>2000000</v>
      </c>
      <c r="V309" s="148">
        <v>2000000</v>
      </c>
      <c r="W309" s="147" t="s">
        <v>75</v>
      </c>
      <c r="X309" s="147" t="s">
        <v>67</v>
      </c>
      <c r="Y309" s="147" t="s">
        <v>811</v>
      </c>
      <c r="Z309" s="147" t="s">
        <v>812</v>
      </c>
      <c r="AA309" s="147">
        <v>6012220601</v>
      </c>
      <c r="AB309" s="160" t="s">
        <v>813</v>
      </c>
      <c r="AC309" s="14">
        <v>2000000</v>
      </c>
      <c r="AD309" s="14"/>
      <c r="AE309" s="14"/>
      <c r="AF309" s="14"/>
      <c r="AG309" s="14"/>
      <c r="AH309" s="62"/>
      <c r="AI309" s="14"/>
      <c r="AJ309" s="14"/>
      <c r="AK309" s="14"/>
      <c r="AL309" s="14"/>
      <c r="AM309" s="14"/>
      <c r="AN309" s="14"/>
      <c r="AO309" s="14"/>
      <c r="AP309" s="14"/>
      <c r="AQ309" s="14"/>
      <c r="AR309" s="14"/>
      <c r="AS309" s="14"/>
      <c r="AT309" s="14"/>
      <c r="AU309" s="15"/>
      <c r="AV309" s="15"/>
      <c r="AW309" s="15"/>
      <c r="AX309" s="15"/>
      <c r="AY309" s="15"/>
      <c r="AZ309" s="15">
        <v>2000000</v>
      </c>
      <c r="BA309" s="17"/>
      <c r="BB309" s="17"/>
      <c r="BC309" s="18">
        <f t="shared" si="251"/>
        <v>2000000</v>
      </c>
      <c r="BD309" s="18">
        <f t="shared" si="252"/>
        <v>2000000</v>
      </c>
      <c r="BE309" s="19">
        <f t="shared" si="253"/>
        <v>0</v>
      </c>
      <c r="BF309" s="20">
        <f t="shared" si="254"/>
        <v>0</v>
      </c>
      <c r="BG309" s="20">
        <f t="shared" si="255"/>
        <v>0</v>
      </c>
    </row>
    <row r="310" spans="1:59" ht="14.25" customHeight="1">
      <c r="A310" s="147" t="s">
        <v>59</v>
      </c>
      <c r="B310" s="147" t="s">
        <v>804</v>
      </c>
      <c r="C310" s="151" t="s">
        <v>805</v>
      </c>
      <c r="D310" s="151" t="s">
        <v>62</v>
      </c>
      <c r="E310" s="151">
        <v>6</v>
      </c>
      <c r="F310" s="149" t="s">
        <v>880</v>
      </c>
      <c r="G310" s="147" t="s">
        <v>841</v>
      </c>
      <c r="H310" s="147" t="s">
        <v>869</v>
      </c>
      <c r="I310" s="147" t="s">
        <v>827</v>
      </c>
      <c r="J310" s="173">
        <v>80111620</v>
      </c>
      <c r="K310" s="149" t="s">
        <v>870</v>
      </c>
      <c r="L310" s="149" t="s">
        <v>83</v>
      </c>
      <c r="M310" s="147" t="s">
        <v>881</v>
      </c>
      <c r="N310" s="147" t="s">
        <v>91</v>
      </c>
      <c r="O310" s="147" t="s">
        <v>91</v>
      </c>
      <c r="P310" s="147" t="s">
        <v>91</v>
      </c>
      <c r="Q310" s="147">
        <v>11.5</v>
      </c>
      <c r="R310" s="147" t="s">
        <v>72</v>
      </c>
      <c r="S310" s="147" t="s">
        <v>73</v>
      </c>
      <c r="T310" s="147" t="s">
        <v>74</v>
      </c>
      <c r="U310" s="148">
        <v>10200000</v>
      </c>
      <c r="V310" s="148">
        <v>10200000</v>
      </c>
      <c r="W310" s="147" t="s">
        <v>75</v>
      </c>
      <c r="X310" s="147" t="s">
        <v>67</v>
      </c>
      <c r="Y310" s="147" t="s">
        <v>811</v>
      </c>
      <c r="Z310" s="147" t="s">
        <v>812</v>
      </c>
      <c r="AA310" s="147">
        <v>6012220601</v>
      </c>
      <c r="AB310" s="160" t="s">
        <v>813</v>
      </c>
      <c r="AC310" s="14">
        <v>10200000</v>
      </c>
      <c r="AD310" s="14"/>
      <c r="AE310" s="14"/>
      <c r="AF310" s="14"/>
      <c r="AG310" s="14"/>
      <c r="AH310" s="62"/>
      <c r="AI310" s="14"/>
      <c r="AJ310" s="14"/>
      <c r="AK310" s="14"/>
      <c r="AL310" s="14"/>
      <c r="AM310" s="14"/>
      <c r="AN310" s="14"/>
      <c r="AO310" s="14"/>
      <c r="AP310" s="14"/>
      <c r="AQ310" s="14"/>
      <c r="AR310" s="14">
        <v>4500000</v>
      </c>
      <c r="AS310" s="14"/>
      <c r="AT310" s="14">
        <v>4500000</v>
      </c>
      <c r="AU310" s="15"/>
      <c r="AV310" s="15"/>
      <c r="AW310" s="15"/>
      <c r="AX310" s="15"/>
      <c r="AY310" s="15"/>
      <c r="AZ310" s="15">
        <v>1200000</v>
      </c>
      <c r="BA310" s="17"/>
      <c r="BB310" s="17"/>
      <c r="BC310" s="18">
        <f t="shared" si="251"/>
        <v>10200000</v>
      </c>
      <c r="BD310" s="18">
        <f t="shared" si="252"/>
        <v>10200000</v>
      </c>
      <c r="BE310" s="19">
        <f t="shared" si="253"/>
        <v>0</v>
      </c>
      <c r="BF310" s="20">
        <f t="shared" si="254"/>
        <v>0</v>
      </c>
      <c r="BG310" s="20">
        <f t="shared" si="255"/>
        <v>0</v>
      </c>
    </row>
    <row r="311" spans="1:59" ht="14.25" customHeight="1">
      <c r="A311" s="147" t="s">
        <v>59</v>
      </c>
      <c r="B311" s="147" t="s">
        <v>804</v>
      </c>
      <c r="C311" s="151" t="s">
        <v>805</v>
      </c>
      <c r="D311" s="151" t="s">
        <v>62</v>
      </c>
      <c r="E311" s="151">
        <v>35</v>
      </c>
      <c r="F311" s="149" t="s">
        <v>882</v>
      </c>
      <c r="G311" s="147" t="s">
        <v>841</v>
      </c>
      <c r="H311" s="147" t="s">
        <v>869</v>
      </c>
      <c r="I311" s="147" t="s">
        <v>827</v>
      </c>
      <c r="J311" s="173">
        <v>80111620</v>
      </c>
      <c r="K311" s="149" t="s">
        <v>870</v>
      </c>
      <c r="L311" s="149" t="s">
        <v>83</v>
      </c>
      <c r="M311" s="147" t="s">
        <v>883</v>
      </c>
      <c r="N311" s="147" t="s">
        <v>91</v>
      </c>
      <c r="O311" s="147" t="s">
        <v>91</v>
      </c>
      <c r="P311" s="149" t="s">
        <v>85</v>
      </c>
      <c r="Q311" s="147">
        <v>11</v>
      </c>
      <c r="R311" s="147" t="s">
        <v>72</v>
      </c>
      <c r="S311" s="147" t="s">
        <v>73</v>
      </c>
      <c r="T311" s="147" t="s">
        <v>74</v>
      </c>
      <c r="U311" s="192">
        <v>76206667</v>
      </c>
      <c r="V311" s="148">
        <v>76206667</v>
      </c>
      <c r="W311" s="147" t="s">
        <v>75</v>
      </c>
      <c r="X311" s="147" t="s">
        <v>67</v>
      </c>
      <c r="Y311" s="147" t="s">
        <v>811</v>
      </c>
      <c r="Z311" s="147" t="s">
        <v>812</v>
      </c>
      <c r="AA311" s="147">
        <v>6012220601</v>
      </c>
      <c r="AB311" s="160" t="s">
        <v>813</v>
      </c>
      <c r="AC311" s="14"/>
      <c r="AD311" s="14"/>
      <c r="AE311" s="14">
        <v>76206667</v>
      </c>
      <c r="AF311" s="14"/>
      <c r="AG311" s="14"/>
      <c r="AH311" s="62">
        <v>5680000</v>
      </c>
      <c r="AI311" s="14"/>
      <c r="AJ311" s="14">
        <v>7100000</v>
      </c>
      <c r="AK311" s="14"/>
      <c r="AL311" s="14">
        <v>7100000</v>
      </c>
      <c r="AM311" s="14"/>
      <c r="AN311" s="14">
        <v>7100000</v>
      </c>
      <c r="AO311" s="14"/>
      <c r="AP311" s="14">
        <v>7100000</v>
      </c>
      <c r="AQ311" s="14"/>
      <c r="AR311" s="14">
        <v>7100000</v>
      </c>
      <c r="AS311" s="14"/>
      <c r="AT311" s="14">
        <v>7100000</v>
      </c>
      <c r="AU311" s="15"/>
      <c r="AV311" s="15">
        <v>7100000</v>
      </c>
      <c r="AW311" s="15"/>
      <c r="AX311" s="15">
        <v>7100000</v>
      </c>
      <c r="AY311" s="15"/>
      <c r="AZ311" s="15">
        <v>13726667</v>
      </c>
      <c r="BA311" s="17"/>
      <c r="BB311" s="17"/>
      <c r="BC311" s="18">
        <f t="shared" si="251"/>
        <v>76206667</v>
      </c>
      <c r="BD311" s="18">
        <f t="shared" si="252"/>
        <v>76206667</v>
      </c>
      <c r="BE311" s="19">
        <f t="shared" si="253"/>
        <v>0</v>
      </c>
      <c r="BF311" s="20">
        <f t="shared" si="254"/>
        <v>0</v>
      </c>
      <c r="BG311" s="20">
        <f t="shared" si="255"/>
        <v>0</v>
      </c>
    </row>
    <row r="312" spans="1:59" ht="14.25" customHeight="1">
      <c r="A312" s="147" t="s">
        <v>59</v>
      </c>
      <c r="B312" s="147" t="s">
        <v>804</v>
      </c>
      <c r="C312" s="151" t="s">
        <v>805</v>
      </c>
      <c r="D312" s="151" t="s">
        <v>62</v>
      </c>
      <c r="E312" s="151">
        <v>40</v>
      </c>
      <c r="F312" s="149" t="s">
        <v>884</v>
      </c>
      <c r="G312" s="147" t="s">
        <v>841</v>
      </c>
      <c r="H312" s="147" t="s">
        <v>869</v>
      </c>
      <c r="I312" s="147" t="s">
        <v>827</v>
      </c>
      <c r="J312" s="173">
        <v>80111620</v>
      </c>
      <c r="K312" s="149" t="s">
        <v>870</v>
      </c>
      <c r="L312" s="149" t="s">
        <v>83</v>
      </c>
      <c r="M312" s="147" t="s">
        <v>885</v>
      </c>
      <c r="N312" s="147" t="s">
        <v>91</v>
      </c>
      <c r="O312" s="147" t="s">
        <v>91</v>
      </c>
      <c r="P312" s="149" t="s">
        <v>85</v>
      </c>
      <c r="Q312" s="149">
        <v>11</v>
      </c>
      <c r="R312" s="147" t="s">
        <v>72</v>
      </c>
      <c r="S312" s="147" t="s">
        <v>73</v>
      </c>
      <c r="T312" s="149" t="s">
        <v>74</v>
      </c>
      <c r="U312" s="192">
        <v>37800000</v>
      </c>
      <c r="V312" s="192">
        <v>37800000</v>
      </c>
      <c r="W312" s="147" t="s">
        <v>75</v>
      </c>
      <c r="X312" s="147" t="s">
        <v>67</v>
      </c>
      <c r="Y312" s="147" t="s">
        <v>811</v>
      </c>
      <c r="Z312" s="147" t="s">
        <v>812</v>
      </c>
      <c r="AA312" s="147">
        <v>6012220601</v>
      </c>
      <c r="AB312" s="160" t="s">
        <v>813</v>
      </c>
      <c r="AC312" s="14"/>
      <c r="AD312" s="14"/>
      <c r="AE312" s="14">
        <v>64400000</v>
      </c>
      <c r="AF312" s="14"/>
      <c r="AG312" s="14"/>
      <c r="AH312" s="62">
        <v>4800000</v>
      </c>
      <c r="AI312" s="14"/>
      <c r="AJ312" s="14">
        <v>6000000</v>
      </c>
      <c r="AK312" s="14"/>
      <c r="AL312" s="14">
        <v>6000000</v>
      </c>
      <c r="AM312" s="14"/>
      <c r="AN312" s="14">
        <v>6000000</v>
      </c>
      <c r="AO312" s="14"/>
      <c r="AP312" s="14">
        <v>6000000</v>
      </c>
      <c r="AQ312" s="14">
        <v>-26600000</v>
      </c>
      <c r="AR312" s="14">
        <v>6000000</v>
      </c>
      <c r="AS312" s="14"/>
      <c r="AT312" s="14"/>
      <c r="AU312" s="15"/>
      <c r="AV312" s="15">
        <v>3000000</v>
      </c>
      <c r="AW312" s="15"/>
      <c r="AX312" s="15"/>
      <c r="AY312" s="15"/>
      <c r="AZ312" s="15"/>
      <c r="BA312" s="17"/>
      <c r="BB312" s="17"/>
      <c r="BC312" s="18">
        <f t="shared" si="251"/>
        <v>37800000</v>
      </c>
      <c r="BD312" s="18">
        <f t="shared" si="252"/>
        <v>37800000</v>
      </c>
      <c r="BE312" s="19">
        <f t="shared" si="253"/>
        <v>0</v>
      </c>
      <c r="BF312" s="20">
        <f t="shared" si="254"/>
        <v>0</v>
      </c>
      <c r="BG312" s="20">
        <f t="shared" si="255"/>
        <v>0</v>
      </c>
    </row>
    <row r="313" spans="1:59" ht="14.25" customHeight="1">
      <c r="A313" s="147" t="s">
        <v>59</v>
      </c>
      <c r="B313" s="147" t="s">
        <v>804</v>
      </c>
      <c r="C313" s="151" t="s">
        <v>805</v>
      </c>
      <c r="D313" s="151" t="s">
        <v>62</v>
      </c>
      <c r="E313" s="151">
        <v>35</v>
      </c>
      <c r="F313" s="149" t="s">
        <v>886</v>
      </c>
      <c r="G313" s="147" t="s">
        <v>841</v>
      </c>
      <c r="H313" s="147" t="s">
        <v>869</v>
      </c>
      <c r="I313" s="147" t="s">
        <v>827</v>
      </c>
      <c r="J313" s="173">
        <v>80111620</v>
      </c>
      <c r="K313" s="149" t="s">
        <v>870</v>
      </c>
      <c r="L313" s="149" t="s">
        <v>83</v>
      </c>
      <c r="M313" s="147" t="s">
        <v>887</v>
      </c>
      <c r="N313" s="147" t="s">
        <v>85</v>
      </c>
      <c r="O313" s="147" t="s">
        <v>85</v>
      </c>
      <c r="P313" s="147" t="s">
        <v>85</v>
      </c>
      <c r="Q313" s="149">
        <v>11</v>
      </c>
      <c r="R313" s="147" t="s">
        <v>72</v>
      </c>
      <c r="S313" s="147" t="s">
        <v>73</v>
      </c>
      <c r="T313" s="149" t="s">
        <v>74</v>
      </c>
      <c r="U313" s="192">
        <v>11831673</v>
      </c>
      <c r="V313" s="148">
        <v>11831673</v>
      </c>
      <c r="W313" s="147" t="s">
        <v>75</v>
      </c>
      <c r="X313" s="147" t="s">
        <v>67</v>
      </c>
      <c r="Y313" s="147" t="s">
        <v>811</v>
      </c>
      <c r="Z313" s="147" t="s">
        <v>812</v>
      </c>
      <c r="AA313" s="147">
        <v>6012220601</v>
      </c>
      <c r="AB313" s="160" t="s">
        <v>813</v>
      </c>
      <c r="AC313" s="14"/>
      <c r="AD313" s="14"/>
      <c r="AE313" s="14">
        <v>20498333</v>
      </c>
      <c r="AF313" s="14"/>
      <c r="AG313" s="14">
        <v>-8666660</v>
      </c>
      <c r="AH313" s="62"/>
      <c r="AI313" s="14"/>
      <c r="AJ313" s="14"/>
      <c r="AK313" s="14"/>
      <c r="AL313" s="14"/>
      <c r="AM313" s="14"/>
      <c r="AN313" s="14"/>
      <c r="AO313" s="14"/>
      <c r="AP313" s="14"/>
      <c r="AQ313" s="14"/>
      <c r="AR313" s="14"/>
      <c r="AS313" s="14"/>
      <c r="AT313" s="14"/>
      <c r="AU313" s="15"/>
      <c r="AV313" s="15"/>
      <c r="AW313" s="15"/>
      <c r="AX313" s="15"/>
      <c r="AY313" s="15"/>
      <c r="AZ313" s="15">
        <v>11831673</v>
      </c>
      <c r="BA313" s="17"/>
      <c r="BB313" s="17"/>
      <c r="BC313" s="18">
        <f t="shared" si="251"/>
        <v>11831673</v>
      </c>
      <c r="BD313" s="18">
        <f t="shared" si="252"/>
        <v>11831673</v>
      </c>
      <c r="BE313" s="19">
        <f t="shared" si="253"/>
        <v>0</v>
      </c>
      <c r="BF313" s="20">
        <f t="shared" si="254"/>
        <v>0</v>
      </c>
      <c r="BG313" s="20">
        <f t="shared" si="255"/>
        <v>0</v>
      </c>
    </row>
    <row r="314" spans="1:59" ht="14.25" customHeight="1">
      <c r="A314" s="147" t="s">
        <v>59</v>
      </c>
      <c r="B314" s="147" t="s">
        <v>804</v>
      </c>
      <c r="C314" s="151" t="s">
        <v>805</v>
      </c>
      <c r="D314" s="151" t="s">
        <v>62</v>
      </c>
      <c r="E314" s="151">
        <v>35</v>
      </c>
      <c r="F314" s="149" t="s">
        <v>888</v>
      </c>
      <c r="G314" s="147" t="s">
        <v>889</v>
      </c>
      <c r="H314" s="147" t="s">
        <v>890</v>
      </c>
      <c r="I314" s="147" t="s">
        <v>891</v>
      </c>
      <c r="J314" s="173">
        <v>80111620</v>
      </c>
      <c r="K314" s="149" t="s">
        <v>824</v>
      </c>
      <c r="L314" s="149" t="s">
        <v>83</v>
      </c>
      <c r="M314" s="147" t="s">
        <v>892</v>
      </c>
      <c r="N314" s="147" t="s">
        <v>127</v>
      </c>
      <c r="O314" s="147" t="s">
        <v>127</v>
      </c>
      <c r="P314" s="147" t="s">
        <v>127</v>
      </c>
      <c r="Q314" s="147">
        <v>8</v>
      </c>
      <c r="R314" s="147" t="s">
        <v>72</v>
      </c>
      <c r="S314" s="147" t="s">
        <v>893</v>
      </c>
      <c r="T314" s="149" t="s">
        <v>74</v>
      </c>
      <c r="U314" s="192">
        <v>7769439</v>
      </c>
      <c r="V314" s="148">
        <v>7769439</v>
      </c>
      <c r="W314" s="147" t="s">
        <v>75</v>
      </c>
      <c r="X314" s="147" t="s">
        <v>67</v>
      </c>
      <c r="Y314" s="147" t="s">
        <v>811</v>
      </c>
      <c r="Z314" s="147" t="s">
        <v>812</v>
      </c>
      <c r="AA314" s="147">
        <v>6012220601</v>
      </c>
      <c r="AB314" s="160" t="s">
        <v>813</v>
      </c>
      <c r="AC314" s="14"/>
      <c r="AD314" s="14"/>
      <c r="AE314" s="14"/>
      <c r="AF314" s="14"/>
      <c r="AG314" s="14"/>
      <c r="AH314" s="62"/>
      <c r="AI314" s="14"/>
      <c r="AJ314" s="14"/>
      <c r="AK314" s="14"/>
      <c r="AL314" s="14"/>
      <c r="AM314" s="14">
        <v>7769439</v>
      </c>
      <c r="AN314" s="14"/>
      <c r="AO314" s="14"/>
      <c r="AP314" s="14"/>
      <c r="AQ314" s="14"/>
      <c r="AR314" s="14"/>
      <c r="AS314" s="14"/>
      <c r="AT314" s="14"/>
      <c r="AU314" s="25"/>
      <c r="AV314" s="25"/>
      <c r="AW314" s="25"/>
      <c r="AX314" s="25"/>
      <c r="AY314" s="25"/>
      <c r="AZ314" s="27">
        <v>7769439</v>
      </c>
      <c r="BA314" s="17"/>
      <c r="BB314" s="17"/>
      <c r="BC314" s="18">
        <f t="shared" si="251"/>
        <v>7769439</v>
      </c>
      <c r="BD314" s="18">
        <f t="shared" si="252"/>
        <v>7769439</v>
      </c>
      <c r="BE314" s="19">
        <f t="shared" si="253"/>
        <v>0</v>
      </c>
      <c r="BF314" s="20">
        <f t="shared" si="254"/>
        <v>0</v>
      </c>
      <c r="BG314" s="20">
        <f t="shared" si="255"/>
        <v>0</v>
      </c>
    </row>
    <row r="315" spans="1:59" ht="14.25" customHeight="1">
      <c r="A315" s="147" t="s">
        <v>59</v>
      </c>
      <c r="B315" s="147" t="s">
        <v>804</v>
      </c>
      <c r="C315" s="151" t="s">
        <v>805</v>
      </c>
      <c r="D315" s="151" t="s">
        <v>62</v>
      </c>
      <c r="E315" s="151">
        <v>35</v>
      </c>
      <c r="F315" s="149" t="s">
        <v>894</v>
      </c>
      <c r="G315" s="147" t="s">
        <v>889</v>
      </c>
      <c r="H315" s="147" t="s">
        <v>890</v>
      </c>
      <c r="I315" s="147" t="s">
        <v>891</v>
      </c>
      <c r="J315" s="173">
        <v>80111620</v>
      </c>
      <c r="K315" s="149" t="s">
        <v>824</v>
      </c>
      <c r="L315" s="149" t="s">
        <v>83</v>
      </c>
      <c r="M315" s="147" t="s">
        <v>895</v>
      </c>
      <c r="N315" s="147" t="s">
        <v>85</v>
      </c>
      <c r="O315" s="147" t="s">
        <v>85</v>
      </c>
      <c r="P315" s="147" t="s">
        <v>85</v>
      </c>
      <c r="Q315" s="149">
        <v>11</v>
      </c>
      <c r="R315" s="147" t="s">
        <v>72</v>
      </c>
      <c r="S315" s="147" t="s">
        <v>73</v>
      </c>
      <c r="T315" s="149" t="s">
        <v>896</v>
      </c>
      <c r="U315" s="192">
        <v>2933333</v>
      </c>
      <c r="V315" s="148">
        <v>2933333</v>
      </c>
      <c r="W315" s="147" t="s">
        <v>75</v>
      </c>
      <c r="X315" s="147" t="s">
        <v>67</v>
      </c>
      <c r="Y315" s="147" t="s">
        <v>811</v>
      </c>
      <c r="Z315" s="147" t="s">
        <v>812</v>
      </c>
      <c r="AA315" s="147">
        <v>6012220601</v>
      </c>
      <c r="AB315" s="160" t="s">
        <v>813</v>
      </c>
      <c r="AC315" s="14"/>
      <c r="AD315" s="14"/>
      <c r="AE315" s="14">
        <v>4000000</v>
      </c>
      <c r="AF315" s="14"/>
      <c r="AG315" s="14">
        <v>-1066667</v>
      </c>
      <c r="AH315" s="62"/>
      <c r="AI315" s="14"/>
      <c r="AJ315" s="14"/>
      <c r="AK315" s="14"/>
      <c r="AL315" s="14"/>
      <c r="AM315" s="14"/>
      <c r="AN315" s="14"/>
      <c r="AO315" s="14"/>
      <c r="AP315" s="14"/>
      <c r="AQ315" s="14"/>
      <c r="AR315" s="14"/>
      <c r="AS315" s="14"/>
      <c r="AT315" s="14"/>
      <c r="AU315" s="15"/>
      <c r="AV315" s="15"/>
      <c r="AW315" s="15"/>
      <c r="AX315" s="15"/>
      <c r="AY315" s="15"/>
      <c r="AZ315" s="15">
        <v>2933333</v>
      </c>
      <c r="BA315" s="17"/>
      <c r="BB315" s="17"/>
      <c r="BC315" s="18">
        <f t="shared" si="251"/>
        <v>2933333</v>
      </c>
      <c r="BD315" s="18">
        <f t="shared" si="252"/>
        <v>2933333</v>
      </c>
      <c r="BE315" s="19">
        <f t="shared" si="253"/>
        <v>0</v>
      </c>
      <c r="BF315" s="20">
        <f t="shared" si="254"/>
        <v>0</v>
      </c>
      <c r="BG315" s="20">
        <f t="shared" si="255"/>
        <v>0</v>
      </c>
    </row>
    <row r="316" spans="1:59" ht="14.25" customHeight="1">
      <c r="A316" s="147" t="s">
        <v>59</v>
      </c>
      <c r="B316" s="147" t="s">
        <v>804</v>
      </c>
      <c r="C316" s="151" t="s">
        <v>805</v>
      </c>
      <c r="D316" s="151" t="s">
        <v>62</v>
      </c>
      <c r="E316" s="151">
        <v>47</v>
      </c>
      <c r="F316" s="149" t="s">
        <v>897</v>
      </c>
      <c r="G316" s="147" t="s">
        <v>889</v>
      </c>
      <c r="H316" s="147" t="s">
        <v>890</v>
      </c>
      <c r="I316" s="147" t="s">
        <v>891</v>
      </c>
      <c r="J316" s="173">
        <v>43233600</v>
      </c>
      <c r="K316" s="149" t="s">
        <v>824</v>
      </c>
      <c r="L316" s="149" t="s">
        <v>442</v>
      </c>
      <c r="M316" s="147" t="s">
        <v>898</v>
      </c>
      <c r="N316" s="147" t="s">
        <v>180</v>
      </c>
      <c r="O316" s="147" t="s">
        <v>180</v>
      </c>
      <c r="P316" s="147" t="s">
        <v>180</v>
      </c>
      <c r="Q316" s="147">
        <v>12</v>
      </c>
      <c r="R316" s="147" t="s">
        <v>72</v>
      </c>
      <c r="S316" s="147" t="s">
        <v>143</v>
      </c>
      <c r="T316" s="149" t="s">
        <v>896</v>
      </c>
      <c r="U316" s="192">
        <v>60000000</v>
      </c>
      <c r="V316" s="148">
        <v>60000000</v>
      </c>
      <c r="W316" s="147" t="s">
        <v>75</v>
      </c>
      <c r="X316" s="147" t="s">
        <v>67</v>
      </c>
      <c r="Y316" s="147" t="s">
        <v>811</v>
      </c>
      <c r="Z316" s="147" t="s">
        <v>812</v>
      </c>
      <c r="AA316" s="147">
        <v>6012220601</v>
      </c>
      <c r="AB316" s="160" t="s">
        <v>813</v>
      </c>
      <c r="AC316" s="14"/>
      <c r="AD316" s="14"/>
      <c r="AE316" s="14"/>
      <c r="AF316" s="14"/>
      <c r="AG316" s="14"/>
      <c r="AH316" s="62"/>
      <c r="AI316" s="14"/>
      <c r="AJ316" s="14"/>
      <c r="AK316" s="14"/>
      <c r="AL316" s="14"/>
      <c r="AM316" s="14"/>
      <c r="AN316" s="14"/>
      <c r="AO316" s="14"/>
      <c r="AP316" s="14"/>
      <c r="AQ316" s="14"/>
      <c r="AR316" s="14"/>
      <c r="AS316" s="14"/>
      <c r="AT316" s="14"/>
      <c r="AU316" s="28">
        <v>52000000</v>
      </c>
      <c r="AV316" s="25"/>
      <c r="AW316" s="25"/>
      <c r="AX316" s="28">
        <v>52000000</v>
      </c>
      <c r="AY316" s="25"/>
      <c r="AZ316" s="25"/>
      <c r="BA316" s="33">
        <v>8000000</v>
      </c>
      <c r="BB316" s="33">
        <v>8000000</v>
      </c>
      <c r="BC316" s="18">
        <f t="shared" si="251"/>
        <v>60000000</v>
      </c>
      <c r="BD316" s="18">
        <f t="shared" si="252"/>
        <v>60000000</v>
      </c>
      <c r="BE316" s="19">
        <f t="shared" si="253"/>
        <v>0</v>
      </c>
      <c r="BF316" s="20">
        <f t="shared" si="254"/>
        <v>0</v>
      </c>
      <c r="BG316" s="20">
        <f t="shared" si="255"/>
        <v>0</v>
      </c>
    </row>
    <row r="317" spans="1:59" ht="14.25" customHeight="1">
      <c r="A317" s="147" t="s">
        <v>59</v>
      </c>
      <c r="B317" s="147" t="s">
        <v>804</v>
      </c>
      <c r="C317" s="151" t="s">
        <v>805</v>
      </c>
      <c r="D317" s="151" t="s">
        <v>62</v>
      </c>
      <c r="E317" s="151">
        <v>4</v>
      </c>
      <c r="F317" s="149" t="s">
        <v>899</v>
      </c>
      <c r="G317" s="147" t="s">
        <v>889</v>
      </c>
      <c r="H317" s="147" t="s">
        <v>890</v>
      </c>
      <c r="I317" s="147" t="s">
        <v>827</v>
      </c>
      <c r="J317" s="173">
        <v>80111620</v>
      </c>
      <c r="K317" s="149" t="s">
        <v>824</v>
      </c>
      <c r="L317" s="149" t="s">
        <v>83</v>
      </c>
      <c r="M317" s="147" t="s">
        <v>900</v>
      </c>
      <c r="N317" s="147" t="s">
        <v>91</v>
      </c>
      <c r="O317" s="147" t="s">
        <v>91</v>
      </c>
      <c r="P317" s="147" t="s">
        <v>91</v>
      </c>
      <c r="Q317" s="149">
        <v>11.5</v>
      </c>
      <c r="R317" s="147" t="s">
        <v>72</v>
      </c>
      <c r="S317" s="147" t="s">
        <v>73</v>
      </c>
      <c r="T317" s="149" t="s">
        <v>896</v>
      </c>
      <c r="U317" s="148">
        <v>20839740</v>
      </c>
      <c r="V317" s="148">
        <v>20839740</v>
      </c>
      <c r="W317" s="147" t="s">
        <v>75</v>
      </c>
      <c r="X317" s="147" t="s">
        <v>67</v>
      </c>
      <c r="Y317" s="147" t="s">
        <v>811</v>
      </c>
      <c r="Z317" s="147" t="s">
        <v>812</v>
      </c>
      <c r="AA317" s="147">
        <v>6012220601</v>
      </c>
      <c r="AB317" s="160" t="s">
        <v>813</v>
      </c>
      <c r="AC317" s="14"/>
      <c r="AD317" s="14"/>
      <c r="AE317" s="14">
        <v>20839740</v>
      </c>
      <c r="AF317" s="14"/>
      <c r="AG317" s="14"/>
      <c r="AH317" s="62"/>
      <c r="AI317" s="14"/>
      <c r="AJ317" s="14"/>
      <c r="AK317" s="14"/>
      <c r="AL317" s="14"/>
      <c r="AM317" s="14"/>
      <c r="AN317" s="14"/>
      <c r="AO317" s="14"/>
      <c r="AP317" s="14"/>
      <c r="AQ317" s="14"/>
      <c r="AR317" s="14"/>
      <c r="AS317" s="14"/>
      <c r="AT317" s="14"/>
      <c r="AU317" s="15"/>
      <c r="AV317" s="15">
        <v>11111548</v>
      </c>
      <c r="AW317" s="15"/>
      <c r="AX317" s="15">
        <v>9728192</v>
      </c>
      <c r="AY317" s="15"/>
      <c r="AZ317" s="15"/>
      <c r="BA317" s="17"/>
      <c r="BB317" s="17"/>
      <c r="BC317" s="18">
        <f t="shared" si="251"/>
        <v>20839740</v>
      </c>
      <c r="BD317" s="18">
        <f t="shared" si="252"/>
        <v>20839740</v>
      </c>
      <c r="BE317" s="19">
        <f t="shared" si="253"/>
        <v>0</v>
      </c>
      <c r="BF317" s="20">
        <f t="shared" si="254"/>
        <v>0</v>
      </c>
      <c r="BG317" s="20">
        <f t="shared" si="255"/>
        <v>0</v>
      </c>
    </row>
    <row r="318" spans="1:59" ht="14.25" customHeight="1">
      <c r="A318" s="147" t="s">
        <v>59</v>
      </c>
      <c r="B318" s="147" t="s">
        <v>804</v>
      </c>
      <c r="C318" s="151" t="s">
        <v>805</v>
      </c>
      <c r="D318" s="151" t="s">
        <v>62</v>
      </c>
      <c r="E318" s="151">
        <v>24</v>
      </c>
      <c r="F318" s="149" t="s">
        <v>901</v>
      </c>
      <c r="G318" s="147" t="s">
        <v>889</v>
      </c>
      <c r="H318" s="147" t="s">
        <v>890</v>
      </c>
      <c r="I318" s="147" t="s">
        <v>827</v>
      </c>
      <c r="J318" s="173">
        <v>80111620</v>
      </c>
      <c r="K318" s="149" t="s">
        <v>824</v>
      </c>
      <c r="L318" s="149" t="s">
        <v>83</v>
      </c>
      <c r="M318" s="147" t="s">
        <v>902</v>
      </c>
      <c r="N318" s="147" t="s">
        <v>91</v>
      </c>
      <c r="O318" s="147" t="s">
        <v>91</v>
      </c>
      <c r="P318" s="147" t="s">
        <v>91</v>
      </c>
      <c r="Q318" s="149">
        <v>10</v>
      </c>
      <c r="R318" s="147" t="s">
        <v>72</v>
      </c>
      <c r="S318" s="147" t="s">
        <v>73</v>
      </c>
      <c r="T318" s="149" t="s">
        <v>896</v>
      </c>
      <c r="U318" s="148">
        <v>84763894</v>
      </c>
      <c r="V318" s="148">
        <v>84763894</v>
      </c>
      <c r="W318" s="147" t="s">
        <v>75</v>
      </c>
      <c r="X318" s="147" t="s">
        <v>67</v>
      </c>
      <c r="Y318" s="147" t="s">
        <v>811</v>
      </c>
      <c r="Z318" s="147" t="s">
        <v>812</v>
      </c>
      <c r="AA318" s="147">
        <v>6012220601</v>
      </c>
      <c r="AB318" s="160" t="s">
        <v>813</v>
      </c>
      <c r="AC318" s="14">
        <v>80000000</v>
      </c>
      <c r="AD318" s="14"/>
      <c r="AE318" s="14"/>
      <c r="AF318" s="14">
        <v>4533333</v>
      </c>
      <c r="AG318" s="14"/>
      <c r="AH318" s="62">
        <v>8000000</v>
      </c>
      <c r="AI318" s="14"/>
      <c r="AJ318" s="14">
        <v>8000000</v>
      </c>
      <c r="AK318" s="14"/>
      <c r="AL318" s="14">
        <v>8000000</v>
      </c>
      <c r="AM318" s="14">
        <v>4763894</v>
      </c>
      <c r="AN318" s="14">
        <v>8000000</v>
      </c>
      <c r="AO318" s="14"/>
      <c r="AP318" s="14">
        <v>8000000</v>
      </c>
      <c r="AQ318" s="14"/>
      <c r="AR318" s="14">
        <v>8000000</v>
      </c>
      <c r="AS318" s="14"/>
      <c r="AT318" s="14">
        <v>8000000</v>
      </c>
      <c r="AU318" s="25"/>
      <c r="AV318" s="25">
        <v>8000000</v>
      </c>
      <c r="AW318" s="25"/>
      <c r="AX318" s="25">
        <v>8000000</v>
      </c>
      <c r="AY318" s="25"/>
      <c r="AZ318" s="21">
        <v>8230561</v>
      </c>
      <c r="BA318" s="17"/>
      <c r="BB318" s="17"/>
      <c r="BC318" s="18">
        <f t="shared" si="251"/>
        <v>84763894</v>
      </c>
      <c r="BD318" s="18">
        <f t="shared" si="252"/>
        <v>84763894</v>
      </c>
      <c r="BE318" s="19">
        <f t="shared" si="253"/>
        <v>0</v>
      </c>
      <c r="BF318" s="20">
        <f t="shared" si="254"/>
        <v>0</v>
      </c>
      <c r="BG318" s="20">
        <f t="shared" si="255"/>
        <v>0</v>
      </c>
    </row>
    <row r="319" spans="1:59" ht="14.25" customHeight="1">
      <c r="A319" s="147" t="s">
        <v>59</v>
      </c>
      <c r="B319" s="147" t="s">
        <v>804</v>
      </c>
      <c r="C319" s="151" t="s">
        <v>805</v>
      </c>
      <c r="D319" s="151" t="s">
        <v>62</v>
      </c>
      <c r="E319" s="151">
        <v>6</v>
      </c>
      <c r="F319" s="149" t="s">
        <v>903</v>
      </c>
      <c r="G319" s="147" t="s">
        <v>889</v>
      </c>
      <c r="H319" s="147" t="s">
        <v>890</v>
      </c>
      <c r="I319" s="147" t="s">
        <v>827</v>
      </c>
      <c r="J319" s="173">
        <v>80111620</v>
      </c>
      <c r="K319" s="149" t="s">
        <v>824</v>
      </c>
      <c r="L319" s="149" t="s">
        <v>83</v>
      </c>
      <c r="M319" s="147" t="s">
        <v>904</v>
      </c>
      <c r="N319" s="147" t="s">
        <v>85</v>
      </c>
      <c r="O319" s="147" t="s">
        <v>85</v>
      </c>
      <c r="P319" s="147" t="s">
        <v>85</v>
      </c>
      <c r="Q319" s="149">
        <v>11</v>
      </c>
      <c r="R319" s="147" t="s">
        <v>72</v>
      </c>
      <c r="S319" s="147" t="s">
        <v>73</v>
      </c>
      <c r="T319" s="149" t="s">
        <v>896</v>
      </c>
      <c r="U319" s="189">
        <v>84000000</v>
      </c>
      <c r="V319" s="189">
        <v>84000000</v>
      </c>
      <c r="W319" s="147" t="s">
        <v>75</v>
      </c>
      <c r="X319" s="147" t="s">
        <v>67</v>
      </c>
      <c r="Y319" s="147" t="s">
        <v>811</v>
      </c>
      <c r="Z319" s="147" t="s">
        <v>812</v>
      </c>
      <c r="AA319" s="147">
        <v>6012220601</v>
      </c>
      <c r="AB319" s="160" t="s">
        <v>813</v>
      </c>
      <c r="AC319" s="14"/>
      <c r="AD319" s="14"/>
      <c r="AE319" s="14">
        <v>84000000</v>
      </c>
      <c r="AF319" s="14"/>
      <c r="AG319" s="14"/>
      <c r="AH319" s="62">
        <v>6933333.3300000001</v>
      </c>
      <c r="AI319" s="14"/>
      <c r="AJ319" s="14">
        <v>8000000</v>
      </c>
      <c r="AK319" s="14"/>
      <c r="AL319" s="14">
        <v>8000000</v>
      </c>
      <c r="AM319" s="14"/>
      <c r="AN319" s="14">
        <v>8000000</v>
      </c>
      <c r="AO319" s="14"/>
      <c r="AP319" s="14">
        <v>8000000</v>
      </c>
      <c r="AQ319" s="14"/>
      <c r="AR319" s="14">
        <v>8000000</v>
      </c>
      <c r="AS319" s="14"/>
      <c r="AT319" s="14">
        <v>8000000</v>
      </c>
      <c r="AU319" s="15"/>
      <c r="AV319" s="15">
        <v>8000000</v>
      </c>
      <c r="AW319" s="15"/>
      <c r="AX319" s="15">
        <v>8000000</v>
      </c>
      <c r="AY319" s="15"/>
      <c r="AZ319" s="75">
        <f>13066667-0.33</f>
        <v>13066666.67</v>
      </c>
      <c r="BA319" s="17"/>
      <c r="BB319" s="17"/>
      <c r="BC319" s="18">
        <f t="shared" si="251"/>
        <v>84000000</v>
      </c>
      <c r="BD319" s="18">
        <f t="shared" si="252"/>
        <v>84000000</v>
      </c>
      <c r="BE319" s="19">
        <f t="shared" si="253"/>
        <v>0</v>
      </c>
      <c r="BF319" s="20">
        <f t="shared" si="254"/>
        <v>0</v>
      </c>
      <c r="BG319" s="20">
        <f t="shared" si="255"/>
        <v>0</v>
      </c>
    </row>
    <row r="320" spans="1:59" ht="14.25" customHeight="1">
      <c r="A320" s="147" t="s">
        <v>59</v>
      </c>
      <c r="B320" s="147" t="s">
        <v>804</v>
      </c>
      <c r="C320" s="151" t="s">
        <v>805</v>
      </c>
      <c r="D320" s="151" t="s">
        <v>62</v>
      </c>
      <c r="E320" s="151">
        <v>24</v>
      </c>
      <c r="F320" s="149" t="s">
        <v>905</v>
      </c>
      <c r="G320" s="147" t="s">
        <v>889</v>
      </c>
      <c r="H320" s="147" t="s">
        <v>890</v>
      </c>
      <c r="I320" s="147" t="s">
        <v>827</v>
      </c>
      <c r="J320" s="173">
        <v>80111620</v>
      </c>
      <c r="K320" s="149" t="s">
        <v>824</v>
      </c>
      <c r="L320" s="149" t="s">
        <v>83</v>
      </c>
      <c r="M320" s="147" t="s">
        <v>906</v>
      </c>
      <c r="N320" s="147" t="s">
        <v>91</v>
      </c>
      <c r="O320" s="147" t="s">
        <v>91</v>
      </c>
      <c r="P320" s="147" t="s">
        <v>91</v>
      </c>
      <c r="Q320" s="149">
        <v>11</v>
      </c>
      <c r="R320" s="147" t="s">
        <v>72</v>
      </c>
      <c r="S320" s="147" t="s">
        <v>73</v>
      </c>
      <c r="T320" s="149" t="s">
        <v>896</v>
      </c>
      <c r="U320" s="148">
        <v>147348692</v>
      </c>
      <c r="V320" s="148">
        <v>147348692</v>
      </c>
      <c r="W320" s="147" t="s">
        <v>75</v>
      </c>
      <c r="X320" s="147" t="s">
        <v>67</v>
      </c>
      <c r="Y320" s="147" t="s">
        <v>811</v>
      </c>
      <c r="Z320" s="147" t="s">
        <v>812</v>
      </c>
      <c r="AA320" s="147">
        <v>6012220601</v>
      </c>
      <c r="AB320" s="160" t="s">
        <v>813</v>
      </c>
      <c r="AC320" s="14">
        <v>140129880</v>
      </c>
      <c r="AD320" s="14"/>
      <c r="AE320" s="14"/>
      <c r="AF320" s="14">
        <v>7218812</v>
      </c>
      <c r="AG320" s="14"/>
      <c r="AH320" s="62">
        <v>12739080</v>
      </c>
      <c r="AI320" s="14"/>
      <c r="AJ320" s="14">
        <v>12739080</v>
      </c>
      <c r="AK320" s="14"/>
      <c r="AL320" s="14">
        <v>12739080</v>
      </c>
      <c r="AM320" s="14"/>
      <c r="AN320" s="14">
        <v>12739080</v>
      </c>
      <c r="AO320" s="14">
        <v>7218812</v>
      </c>
      <c r="AP320" s="14">
        <v>12739080</v>
      </c>
      <c r="AQ320" s="14"/>
      <c r="AR320" s="14">
        <v>12739080</v>
      </c>
      <c r="AS320" s="14"/>
      <c r="AT320" s="14">
        <v>12739080</v>
      </c>
      <c r="AU320" s="25"/>
      <c r="AV320" s="14">
        <v>12739080</v>
      </c>
      <c r="AW320" s="25"/>
      <c r="AX320" s="14">
        <v>12739080</v>
      </c>
      <c r="AY320" s="25"/>
      <c r="AZ320" s="28">
        <v>25478160</v>
      </c>
      <c r="BA320" s="17"/>
      <c r="BB320" s="17"/>
      <c r="BC320" s="18">
        <f t="shared" si="251"/>
        <v>147348692</v>
      </c>
      <c r="BD320" s="18">
        <f t="shared" si="252"/>
        <v>147348692</v>
      </c>
      <c r="BE320" s="19">
        <f t="shared" si="253"/>
        <v>0</v>
      </c>
      <c r="BF320" s="20">
        <f t="shared" si="254"/>
        <v>0</v>
      </c>
      <c r="BG320" s="20">
        <f t="shared" si="255"/>
        <v>0</v>
      </c>
    </row>
    <row r="321" spans="1:59" ht="14.25" customHeight="1">
      <c r="A321" s="147" t="s">
        <v>59</v>
      </c>
      <c r="B321" s="147" t="s">
        <v>804</v>
      </c>
      <c r="C321" s="151" t="s">
        <v>805</v>
      </c>
      <c r="D321" s="151" t="s">
        <v>62</v>
      </c>
      <c r="E321" s="151">
        <v>24</v>
      </c>
      <c r="F321" s="149" t="s">
        <v>907</v>
      </c>
      <c r="G321" s="147" t="s">
        <v>889</v>
      </c>
      <c r="H321" s="147" t="s">
        <v>890</v>
      </c>
      <c r="I321" s="147" t="s">
        <v>827</v>
      </c>
      <c r="J321" s="173">
        <v>80111620</v>
      </c>
      <c r="K321" s="149" t="s">
        <v>824</v>
      </c>
      <c r="L321" s="149" t="s">
        <v>83</v>
      </c>
      <c r="M321" s="147" t="s">
        <v>908</v>
      </c>
      <c r="N321" s="147" t="s">
        <v>91</v>
      </c>
      <c r="O321" s="147" t="s">
        <v>91</v>
      </c>
      <c r="P321" s="147" t="s">
        <v>91</v>
      </c>
      <c r="Q321" s="149">
        <v>11.5</v>
      </c>
      <c r="R321" s="147" t="s">
        <v>72</v>
      </c>
      <c r="S321" s="147" t="s">
        <v>73</v>
      </c>
      <c r="T321" s="149" t="s">
        <v>896</v>
      </c>
      <c r="U321" s="148">
        <v>44933333</v>
      </c>
      <c r="V321" s="148">
        <v>44933333</v>
      </c>
      <c r="W321" s="147" t="s">
        <v>75</v>
      </c>
      <c r="X321" s="147" t="s">
        <v>67</v>
      </c>
      <c r="Y321" s="147" t="s">
        <v>811</v>
      </c>
      <c r="Z321" s="147" t="s">
        <v>812</v>
      </c>
      <c r="AA321" s="147">
        <v>6012220601</v>
      </c>
      <c r="AB321" s="160" t="s">
        <v>813</v>
      </c>
      <c r="AC321" s="14">
        <v>45066667</v>
      </c>
      <c r="AD321" s="14"/>
      <c r="AE321" s="14"/>
      <c r="AF321" s="14">
        <v>933333</v>
      </c>
      <c r="AG321" s="14">
        <v>-133334</v>
      </c>
      <c r="AH321" s="62">
        <v>4000000</v>
      </c>
      <c r="AI321" s="14"/>
      <c r="AJ321" s="14">
        <v>4000000</v>
      </c>
      <c r="AK321" s="14"/>
      <c r="AL321" s="14">
        <v>4000000</v>
      </c>
      <c r="AM321" s="14"/>
      <c r="AN321" s="14">
        <v>4000000</v>
      </c>
      <c r="AO321" s="14"/>
      <c r="AP321" s="14">
        <v>4000000</v>
      </c>
      <c r="AQ321" s="14"/>
      <c r="AR321" s="14">
        <v>4000000</v>
      </c>
      <c r="AS321" s="14"/>
      <c r="AT321" s="14">
        <v>4000000</v>
      </c>
      <c r="AU321" s="15"/>
      <c r="AV321" s="15">
        <v>4000000</v>
      </c>
      <c r="AW321" s="15"/>
      <c r="AX321" s="15">
        <v>4000000</v>
      </c>
      <c r="AY321" s="15"/>
      <c r="AZ321" s="15">
        <v>8000000</v>
      </c>
      <c r="BA321" s="17"/>
      <c r="BB321" s="17"/>
      <c r="BC321" s="18">
        <f t="shared" si="251"/>
        <v>44933333</v>
      </c>
      <c r="BD321" s="18">
        <f t="shared" si="252"/>
        <v>44933333</v>
      </c>
      <c r="BE321" s="19">
        <f t="shared" si="253"/>
        <v>0</v>
      </c>
      <c r="BF321" s="20">
        <f t="shared" si="254"/>
        <v>0</v>
      </c>
      <c r="BG321" s="20">
        <f t="shared" si="255"/>
        <v>0</v>
      </c>
    </row>
    <row r="322" spans="1:59" ht="14.25" customHeight="1">
      <c r="A322" s="147" t="s">
        <v>59</v>
      </c>
      <c r="B322" s="147" t="s">
        <v>804</v>
      </c>
      <c r="C322" s="151" t="s">
        <v>805</v>
      </c>
      <c r="D322" s="151" t="s">
        <v>62</v>
      </c>
      <c r="E322" s="151">
        <v>24</v>
      </c>
      <c r="F322" s="149" t="s">
        <v>909</v>
      </c>
      <c r="G322" s="147" t="s">
        <v>889</v>
      </c>
      <c r="H322" s="147" t="s">
        <v>890</v>
      </c>
      <c r="I322" s="147" t="s">
        <v>827</v>
      </c>
      <c r="J322" s="173">
        <v>80111620</v>
      </c>
      <c r="K322" s="149" t="s">
        <v>824</v>
      </c>
      <c r="L322" s="149" t="s">
        <v>83</v>
      </c>
      <c r="M322" s="147" t="s">
        <v>910</v>
      </c>
      <c r="N322" s="149" t="s">
        <v>99</v>
      </c>
      <c r="O322" s="149" t="s">
        <v>99</v>
      </c>
      <c r="P322" s="149" t="s">
        <v>99</v>
      </c>
      <c r="Q322" s="149">
        <v>9</v>
      </c>
      <c r="R322" s="147" t="s">
        <v>72</v>
      </c>
      <c r="S322" s="147" t="s">
        <v>73</v>
      </c>
      <c r="T322" s="149" t="s">
        <v>896</v>
      </c>
      <c r="U322" s="148">
        <v>28145355</v>
      </c>
      <c r="V322" s="148">
        <v>28145355</v>
      </c>
      <c r="W322" s="147" t="s">
        <v>75</v>
      </c>
      <c r="X322" s="147" t="s">
        <v>67</v>
      </c>
      <c r="Y322" s="147" t="s">
        <v>811</v>
      </c>
      <c r="Z322" s="147" t="s">
        <v>812</v>
      </c>
      <c r="AA322" s="147">
        <v>6012220601</v>
      </c>
      <c r="AB322" s="160" t="s">
        <v>813</v>
      </c>
      <c r="AC322" s="14"/>
      <c r="AD322" s="14"/>
      <c r="AE322" s="14"/>
      <c r="AF322" s="14"/>
      <c r="AG322" s="14"/>
      <c r="AH322" s="62"/>
      <c r="AI322" s="14">
        <v>28145355</v>
      </c>
      <c r="AJ322" s="14"/>
      <c r="AK322" s="14"/>
      <c r="AL322" s="14"/>
      <c r="AM322" s="14">
        <v>-876120</v>
      </c>
      <c r="AN322" s="14">
        <f>985635+ 3285450</f>
        <v>4271085</v>
      </c>
      <c r="AO322" s="14"/>
      <c r="AP322" s="14">
        <v>3285450</v>
      </c>
      <c r="AQ322" s="14"/>
      <c r="AR322" s="14">
        <v>3285450</v>
      </c>
      <c r="AS322" s="14"/>
      <c r="AT322" s="14">
        <v>3285450</v>
      </c>
      <c r="AU322" s="28"/>
      <c r="AV322" s="14">
        <v>3285450</v>
      </c>
      <c r="AW322" s="25"/>
      <c r="AX322" s="14">
        <v>3285450</v>
      </c>
      <c r="AY322" s="25"/>
      <c r="AZ322" s="28">
        <v>6570900</v>
      </c>
      <c r="BA322" s="17">
        <v>876120</v>
      </c>
      <c r="BB322" s="17">
        <v>876120</v>
      </c>
      <c r="BC322" s="18">
        <f t="shared" si="251"/>
        <v>28145355</v>
      </c>
      <c r="BD322" s="18">
        <f t="shared" si="252"/>
        <v>28145355</v>
      </c>
      <c r="BE322" s="19">
        <f t="shared" si="253"/>
        <v>0</v>
      </c>
      <c r="BF322" s="20">
        <f t="shared" si="254"/>
        <v>0</v>
      </c>
      <c r="BG322" s="20">
        <f t="shared" si="255"/>
        <v>0</v>
      </c>
    </row>
    <row r="323" spans="1:59" ht="14.25" customHeight="1">
      <c r="A323" s="147" t="s">
        <v>59</v>
      </c>
      <c r="B323" s="147" t="s">
        <v>804</v>
      </c>
      <c r="C323" s="151" t="s">
        <v>805</v>
      </c>
      <c r="D323" s="151" t="s">
        <v>62</v>
      </c>
      <c r="E323" s="151">
        <v>35</v>
      </c>
      <c r="F323" s="149" t="s">
        <v>911</v>
      </c>
      <c r="G323" s="147" t="s">
        <v>889</v>
      </c>
      <c r="H323" s="147" t="s">
        <v>912</v>
      </c>
      <c r="I323" s="147" t="s">
        <v>913</v>
      </c>
      <c r="J323" s="173">
        <v>78111502</v>
      </c>
      <c r="K323" s="149" t="s">
        <v>914</v>
      </c>
      <c r="L323" s="147" t="s">
        <v>562</v>
      </c>
      <c r="M323" s="147" t="s">
        <v>915</v>
      </c>
      <c r="N323" s="147" t="s">
        <v>71</v>
      </c>
      <c r="O323" s="147" t="s">
        <v>71</v>
      </c>
      <c r="P323" s="147" t="s">
        <v>71</v>
      </c>
      <c r="Q323" s="149">
        <v>3</v>
      </c>
      <c r="R323" s="147" t="s">
        <v>72</v>
      </c>
      <c r="S323" s="165" t="s">
        <v>536</v>
      </c>
      <c r="T323" s="149" t="s">
        <v>896</v>
      </c>
      <c r="U323" s="192">
        <v>21000000</v>
      </c>
      <c r="V323" s="148">
        <v>21000000</v>
      </c>
      <c r="W323" s="147" t="s">
        <v>75</v>
      </c>
      <c r="X323" s="147" t="s">
        <v>67</v>
      </c>
      <c r="Y323" s="147" t="s">
        <v>811</v>
      </c>
      <c r="Z323" s="147" t="s">
        <v>812</v>
      </c>
      <c r="AA323" s="147">
        <v>6012220601</v>
      </c>
      <c r="AB323" s="160" t="s">
        <v>813</v>
      </c>
      <c r="AC323" s="14"/>
      <c r="AD323" s="14"/>
      <c r="AE323" s="14"/>
      <c r="AF323" s="14"/>
      <c r="AG323" s="14"/>
      <c r="AH323" s="62"/>
      <c r="AI323" s="14"/>
      <c r="AJ323" s="14"/>
      <c r="AK323" s="14"/>
      <c r="AL323" s="14"/>
      <c r="AM323" s="14">
        <v>20000000</v>
      </c>
      <c r="AN323" s="14"/>
      <c r="AO323" s="14"/>
      <c r="AP323" s="14"/>
      <c r="AQ323" s="14"/>
      <c r="AR323" s="14">
        <v>3310452</v>
      </c>
      <c r="AS323" s="14"/>
      <c r="AT323" s="14">
        <v>3769762</v>
      </c>
      <c r="AU323" s="28"/>
      <c r="AV323" s="25"/>
      <c r="AW323" s="25"/>
      <c r="AX323" s="25"/>
      <c r="AY323" s="25"/>
      <c r="AZ323" s="27">
        <v>12919786</v>
      </c>
      <c r="BA323" s="33">
        <v>1000000</v>
      </c>
      <c r="BB323" s="33">
        <v>1000000</v>
      </c>
      <c r="BC323" s="18">
        <f t="shared" si="251"/>
        <v>21000000</v>
      </c>
      <c r="BD323" s="18">
        <f t="shared" si="252"/>
        <v>21000000</v>
      </c>
      <c r="BE323" s="19">
        <f t="shared" si="253"/>
        <v>0</v>
      </c>
      <c r="BF323" s="20">
        <f t="shared" si="254"/>
        <v>0</v>
      </c>
      <c r="BG323" s="20">
        <f t="shared" si="255"/>
        <v>0</v>
      </c>
    </row>
    <row r="324" spans="1:59" ht="14.25" customHeight="1">
      <c r="A324" s="147" t="s">
        <v>59</v>
      </c>
      <c r="B324" s="147" t="s">
        <v>804</v>
      </c>
      <c r="C324" s="151" t="s">
        <v>805</v>
      </c>
      <c r="D324" s="151" t="s">
        <v>62</v>
      </c>
      <c r="E324" s="151">
        <v>13</v>
      </c>
      <c r="F324" s="149" t="s">
        <v>916</v>
      </c>
      <c r="G324" s="147" t="s">
        <v>889</v>
      </c>
      <c r="H324" s="147" t="s">
        <v>912</v>
      </c>
      <c r="I324" s="147" t="s">
        <v>913</v>
      </c>
      <c r="J324" s="173">
        <v>80141607</v>
      </c>
      <c r="K324" s="149" t="s">
        <v>914</v>
      </c>
      <c r="L324" s="149" t="s">
        <v>917</v>
      </c>
      <c r="M324" s="147" t="s">
        <v>918</v>
      </c>
      <c r="N324" s="147" t="s">
        <v>86</v>
      </c>
      <c r="O324" s="147" t="s">
        <v>86</v>
      </c>
      <c r="P324" s="165" t="s">
        <v>86</v>
      </c>
      <c r="Q324" s="149">
        <v>9.5</v>
      </c>
      <c r="R324" s="147" t="s">
        <v>72</v>
      </c>
      <c r="S324" s="147" t="s">
        <v>788</v>
      </c>
      <c r="T324" s="149" t="s">
        <v>896</v>
      </c>
      <c r="U324" s="148">
        <v>34000000</v>
      </c>
      <c r="V324" s="148">
        <v>34000000</v>
      </c>
      <c r="W324" s="147" t="s">
        <v>75</v>
      </c>
      <c r="X324" s="147" t="s">
        <v>67</v>
      </c>
      <c r="Y324" s="147" t="s">
        <v>811</v>
      </c>
      <c r="Z324" s="147" t="s">
        <v>812</v>
      </c>
      <c r="AA324" s="147">
        <v>6012220601</v>
      </c>
      <c r="AB324" s="160" t="s">
        <v>813</v>
      </c>
      <c r="AC324" s="14"/>
      <c r="AD324" s="14"/>
      <c r="AE324" s="14"/>
      <c r="AF324" s="14"/>
      <c r="AG324" s="14"/>
      <c r="AH324" s="62"/>
      <c r="AI324" s="14"/>
      <c r="AJ324" s="14"/>
      <c r="AK324" s="14"/>
      <c r="AL324" s="14"/>
      <c r="AM324" s="14"/>
      <c r="AN324" s="14"/>
      <c r="AO324" s="14"/>
      <c r="AP324" s="14"/>
      <c r="AQ324" s="14">
        <v>34000000</v>
      </c>
      <c r="AR324" s="14"/>
      <c r="AS324" s="14"/>
      <c r="AT324" s="14"/>
      <c r="AU324" s="25"/>
      <c r="AV324" s="25"/>
      <c r="AW324" s="25"/>
      <c r="AX324" s="25"/>
      <c r="AY324" s="25"/>
      <c r="AZ324" s="25">
        <v>34000000</v>
      </c>
      <c r="BA324" s="17"/>
      <c r="BB324" s="17"/>
      <c r="BC324" s="18">
        <f t="shared" si="251"/>
        <v>34000000</v>
      </c>
      <c r="BD324" s="18">
        <f t="shared" si="252"/>
        <v>34000000</v>
      </c>
      <c r="BE324" s="19">
        <f t="shared" si="253"/>
        <v>0</v>
      </c>
      <c r="BF324" s="20">
        <f t="shared" si="254"/>
        <v>0</v>
      </c>
      <c r="BG324" s="20">
        <f t="shared" si="255"/>
        <v>0</v>
      </c>
    </row>
    <row r="325" spans="1:59" ht="14.25" customHeight="1">
      <c r="A325" s="147" t="s">
        <v>59</v>
      </c>
      <c r="B325" s="147" t="s">
        <v>804</v>
      </c>
      <c r="C325" s="151" t="s">
        <v>805</v>
      </c>
      <c r="D325" s="151" t="s">
        <v>62</v>
      </c>
      <c r="E325" s="151">
        <v>35</v>
      </c>
      <c r="F325" s="149" t="s">
        <v>919</v>
      </c>
      <c r="G325" s="147" t="s">
        <v>889</v>
      </c>
      <c r="H325" s="147" t="s">
        <v>912</v>
      </c>
      <c r="I325" s="147" t="s">
        <v>913</v>
      </c>
      <c r="J325" s="173">
        <v>80111620</v>
      </c>
      <c r="K325" s="149" t="s">
        <v>914</v>
      </c>
      <c r="L325" s="149" t="s">
        <v>83</v>
      </c>
      <c r="M325" s="147" t="s">
        <v>920</v>
      </c>
      <c r="N325" s="147" t="s">
        <v>85</v>
      </c>
      <c r="O325" s="147" t="s">
        <v>85</v>
      </c>
      <c r="P325" s="147" t="s">
        <v>85</v>
      </c>
      <c r="Q325" s="149">
        <v>11</v>
      </c>
      <c r="R325" s="147" t="s">
        <v>72</v>
      </c>
      <c r="S325" s="147" t="s">
        <v>73</v>
      </c>
      <c r="T325" s="149" t="s">
        <v>896</v>
      </c>
      <c r="U325" s="192">
        <v>65400000</v>
      </c>
      <c r="V325" s="148">
        <v>65400000</v>
      </c>
      <c r="W325" s="147" t="s">
        <v>75</v>
      </c>
      <c r="X325" s="147" t="s">
        <v>67</v>
      </c>
      <c r="Y325" s="147" t="s">
        <v>811</v>
      </c>
      <c r="Z325" s="147" t="s">
        <v>812</v>
      </c>
      <c r="AA325" s="147">
        <v>6012220601</v>
      </c>
      <c r="AB325" s="160" t="s">
        <v>813</v>
      </c>
      <c r="AC325" s="14"/>
      <c r="AD325" s="14"/>
      <c r="AE325" s="14">
        <v>66000000</v>
      </c>
      <c r="AF325" s="14"/>
      <c r="AG325" s="14"/>
      <c r="AH325" s="62">
        <v>5400000</v>
      </c>
      <c r="AI325" s="14">
        <v>-600000</v>
      </c>
      <c r="AJ325" s="14">
        <v>6000000</v>
      </c>
      <c r="AK325" s="14"/>
      <c r="AL325" s="14">
        <v>6000000</v>
      </c>
      <c r="AM325" s="14"/>
      <c r="AN325" s="14">
        <v>6000000</v>
      </c>
      <c r="AO325" s="14"/>
      <c r="AP325" s="14">
        <v>6000000</v>
      </c>
      <c r="AQ325" s="14"/>
      <c r="AR325" s="14">
        <v>6000000</v>
      </c>
      <c r="AS325" s="14"/>
      <c r="AT325" s="14">
        <v>6000000</v>
      </c>
      <c r="AU325" s="15"/>
      <c r="AV325" s="15">
        <v>6000000</v>
      </c>
      <c r="AW325" s="15"/>
      <c r="AX325" s="15">
        <v>6000000</v>
      </c>
      <c r="AY325" s="15"/>
      <c r="AZ325" s="15">
        <v>12000000</v>
      </c>
      <c r="BA325" s="17"/>
      <c r="BB325" s="17"/>
      <c r="BC325" s="18">
        <f t="shared" si="251"/>
        <v>65400000</v>
      </c>
      <c r="BD325" s="18">
        <f t="shared" si="252"/>
        <v>65400000</v>
      </c>
      <c r="BE325" s="19">
        <f t="shared" si="253"/>
        <v>0</v>
      </c>
      <c r="BF325" s="20">
        <f t="shared" si="254"/>
        <v>0</v>
      </c>
      <c r="BG325" s="20">
        <f t="shared" si="255"/>
        <v>0</v>
      </c>
    </row>
    <row r="326" spans="1:59" ht="14.25" customHeight="1">
      <c r="A326" s="147" t="s">
        <v>59</v>
      </c>
      <c r="B326" s="147" t="s">
        <v>804</v>
      </c>
      <c r="C326" s="151" t="s">
        <v>805</v>
      </c>
      <c r="D326" s="151" t="s">
        <v>62</v>
      </c>
      <c r="E326" s="151">
        <v>6</v>
      </c>
      <c r="F326" s="149" t="s">
        <v>921</v>
      </c>
      <c r="G326" s="147" t="s">
        <v>889</v>
      </c>
      <c r="H326" s="147" t="s">
        <v>912</v>
      </c>
      <c r="I326" s="147" t="s">
        <v>913</v>
      </c>
      <c r="J326" s="173">
        <v>80111620</v>
      </c>
      <c r="K326" s="149" t="s">
        <v>914</v>
      </c>
      <c r="L326" s="149" t="s">
        <v>83</v>
      </c>
      <c r="M326" s="147" t="s">
        <v>922</v>
      </c>
      <c r="N326" s="147" t="s">
        <v>91</v>
      </c>
      <c r="O326" s="147" t="s">
        <v>91</v>
      </c>
      <c r="P326" s="147" t="s">
        <v>91</v>
      </c>
      <c r="Q326" s="149">
        <v>10</v>
      </c>
      <c r="R326" s="147" t="s">
        <v>72</v>
      </c>
      <c r="S326" s="147" t="s">
        <v>73</v>
      </c>
      <c r="T326" s="149" t="s">
        <v>896</v>
      </c>
      <c r="U326" s="148">
        <v>80500000</v>
      </c>
      <c r="V326" s="148">
        <v>80500000</v>
      </c>
      <c r="W326" s="147" t="s">
        <v>75</v>
      </c>
      <c r="X326" s="147" t="s">
        <v>67</v>
      </c>
      <c r="Y326" s="147" t="s">
        <v>811</v>
      </c>
      <c r="Z326" s="147" t="s">
        <v>812</v>
      </c>
      <c r="AA326" s="147">
        <v>6012220601</v>
      </c>
      <c r="AB326" s="160" t="s">
        <v>813</v>
      </c>
      <c r="AC326" s="14">
        <v>80500000</v>
      </c>
      <c r="AD326" s="14"/>
      <c r="AE326" s="14"/>
      <c r="AF326" s="14">
        <v>3500000</v>
      </c>
      <c r="AG326" s="14"/>
      <c r="AH326" s="62">
        <v>7000000</v>
      </c>
      <c r="AI326" s="14"/>
      <c r="AJ326" s="14">
        <v>7000000</v>
      </c>
      <c r="AK326" s="14"/>
      <c r="AL326" s="14">
        <v>7000000</v>
      </c>
      <c r="AM326" s="14"/>
      <c r="AN326" s="14">
        <v>7000000</v>
      </c>
      <c r="AO326" s="14"/>
      <c r="AP326" s="14">
        <v>7000000</v>
      </c>
      <c r="AQ326" s="14"/>
      <c r="AR326" s="14">
        <v>7000000</v>
      </c>
      <c r="AS326" s="14"/>
      <c r="AT326" s="14">
        <v>7000000</v>
      </c>
      <c r="AU326" s="25"/>
      <c r="AV326" s="25">
        <v>7000000</v>
      </c>
      <c r="AW326" s="25"/>
      <c r="AX326" s="25">
        <v>7000000</v>
      </c>
      <c r="AY326" s="25"/>
      <c r="AZ326" s="25">
        <v>14000000</v>
      </c>
      <c r="BA326" s="17"/>
      <c r="BB326" s="17"/>
      <c r="BC326" s="18">
        <f t="shared" si="251"/>
        <v>80500000</v>
      </c>
      <c r="BD326" s="18">
        <f t="shared" si="252"/>
        <v>80500000</v>
      </c>
      <c r="BE326" s="19">
        <f t="shared" si="253"/>
        <v>0</v>
      </c>
      <c r="BF326" s="20">
        <f t="shared" si="254"/>
        <v>0</v>
      </c>
      <c r="BG326" s="20">
        <f t="shared" si="255"/>
        <v>0</v>
      </c>
    </row>
    <row r="327" spans="1:59" ht="14.25" customHeight="1">
      <c r="A327" s="147" t="s">
        <v>59</v>
      </c>
      <c r="B327" s="147" t="s">
        <v>804</v>
      </c>
      <c r="C327" s="151" t="s">
        <v>805</v>
      </c>
      <c r="D327" s="151" t="s">
        <v>62</v>
      </c>
      <c r="E327" s="151" t="s">
        <v>114</v>
      </c>
      <c r="F327" s="149" t="s">
        <v>923</v>
      </c>
      <c r="G327" s="149" t="s">
        <v>889</v>
      </c>
      <c r="H327" s="149" t="s">
        <v>912</v>
      </c>
      <c r="I327" s="149" t="s">
        <v>924</v>
      </c>
      <c r="J327" s="164" t="s">
        <v>67</v>
      </c>
      <c r="K327" s="149" t="s">
        <v>914</v>
      </c>
      <c r="L327" s="149" t="s">
        <v>275</v>
      </c>
      <c r="M327" s="147" t="s">
        <v>925</v>
      </c>
      <c r="N327" s="149" t="s">
        <v>91</v>
      </c>
      <c r="O327" s="149" t="s">
        <v>91</v>
      </c>
      <c r="P327" s="149" t="s">
        <v>71</v>
      </c>
      <c r="Q327" s="149">
        <v>12</v>
      </c>
      <c r="R327" s="149" t="s">
        <v>72</v>
      </c>
      <c r="S327" s="149" t="s">
        <v>67</v>
      </c>
      <c r="T327" s="149" t="s">
        <v>896</v>
      </c>
      <c r="U327" s="175">
        <v>17726220</v>
      </c>
      <c r="V327" s="175">
        <v>17726220</v>
      </c>
      <c r="W327" s="149" t="s">
        <v>75</v>
      </c>
      <c r="X327" s="149" t="s">
        <v>67</v>
      </c>
      <c r="Y327" s="147" t="s">
        <v>811</v>
      </c>
      <c r="Z327" s="147" t="s">
        <v>812</v>
      </c>
      <c r="AA327" s="147">
        <v>6012220601</v>
      </c>
      <c r="AB327" s="160" t="s">
        <v>813</v>
      </c>
      <c r="AC327" s="14"/>
      <c r="AD327" s="14"/>
      <c r="AE327" s="14">
        <v>1674730</v>
      </c>
      <c r="AF327" s="14">
        <v>1674730</v>
      </c>
      <c r="AG327" s="14"/>
      <c r="AH327" s="62"/>
      <c r="AI327" s="14">
        <f t="shared" ref="AI327:AJ327" si="256">1644622+ 2644622</f>
        <v>4289244</v>
      </c>
      <c r="AJ327" s="14">
        <f t="shared" si="256"/>
        <v>4289244</v>
      </c>
      <c r="AK327" s="14"/>
      <c r="AL327" s="14"/>
      <c r="AM327" s="14">
        <f>2144622+ 434946 + 300467 + 502786</f>
        <v>3382821</v>
      </c>
      <c r="AN327" s="14">
        <v>2144622</v>
      </c>
      <c r="AO327" s="14"/>
      <c r="AP327" s="14">
        <f>434946+ 300467+502786</f>
        <v>1238199</v>
      </c>
      <c r="AQ327" s="14">
        <v>1839932</v>
      </c>
      <c r="AR327" s="14"/>
      <c r="AS327" s="14">
        <f>245139+ 264593+ 1254179</f>
        <v>1763911</v>
      </c>
      <c r="AT327" s="14">
        <f>1839932+ 245139 + 264593 + 1254179</f>
        <v>3603843</v>
      </c>
      <c r="AU327" s="30"/>
      <c r="AV327" s="25"/>
      <c r="AW327" s="30"/>
      <c r="AX327" s="25"/>
      <c r="AY327" s="25">
        <v>4775582</v>
      </c>
      <c r="AZ327" s="25">
        <v>4775582</v>
      </c>
      <c r="BA327" s="17"/>
      <c r="BB327" s="17"/>
      <c r="BC327" s="18">
        <f t="shared" si="251"/>
        <v>17726220</v>
      </c>
      <c r="BD327" s="18">
        <f t="shared" si="252"/>
        <v>17726220</v>
      </c>
      <c r="BE327" s="19">
        <f t="shared" si="253"/>
        <v>0</v>
      </c>
      <c r="BF327" s="20">
        <f t="shared" si="254"/>
        <v>0</v>
      </c>
      <c r="BG327" s="20">
        <f t="shared" si="255"/>
        <v>0</v>
      </c>
    </row>
    <row r="328" spans="1:59" ht="14.25" customHeight="1">
      <c r="A328" s="147" t="s">
        <v>59</v>
      </c>
      <c r="B328" s="147" t="s">
        <v>804</v>
      </c>
      <c r="C328" s="151" t="s">
        <v>805</v>
      </c>
      <c r="D328" s="151" t="s">
        <v>62</v>
      </c>
      <c r="E328" s="151">
        <v>35</v>
      </c>
      <c r="F328" s="149" t="s">
        <v>926</v>
      </c>
      <c r="G328" s="149" t="s">
        <v>889</v>
      </c>
      <c r="H328" s="149" t="s">
        <v>912</v>
      </c>
      <c r="I328" s="149" t="s">
        <v>924</v>
      </c>
      <c r="J328" s="173">
        <v>80111620</v>
      </c>
      <c r="K328" s="149" t="s">
        <v>914</v>
      </c>
      <c r="L328" s="149" t="s">
        <v>83</v>
      </c>
      <c r="M328" s="147" t="s">
        <v>927</v>
      </c>
      <c r="N328" s="149" t="s">
        <v>91</v>
      </c>
      <c r="O328" s="149" t="s">
        <v>91</v>
      </c>
      <c r="P328" s="149" t="s">
        <v>91</v>
      </c>
      <c r="Q328" s="149">
        <v>11.5</v>
      </c>
      <c r="R328" s="149" t="s">
        <v>72</v>
      </c>
      <c r="S328" s="149" t="s">
        <v>73</v>
      </c>
      <c r="T328" s="149" t="s">
        <v>896</v>
      </c>
      <c r="U328" s="192">
        <v>80880000</v>
      </c>
      <c r="V328" s="175">
        <v>80880000</v>
      </c>
      <c r="W328" s="149" t="s">
        <v>75</v>
      </c>
      <c r="X328" s="149" t="s">
        <v>67</v>
      </c>
      <c r="Y328" s="147" t="s">
        <v>811</v>
      </c>
      <c r="Z328" s="147" t="s">
        <v>812</v>
      </c>
      <c r="AA328" s="147">
        <v>6012220601</v>
      </c>
      <c r="AB328" s="160" t="s">
        <v>813</v>
      </c>
      <c r="AC328" s="14">
        <v>81120000</v>
      </c>
      <c r="AD328" s="14"/>
      <c r="AE328" s="14"/>
      <c r="AF328" s="14">
        <v>1680000</v>
      </c>
      <c r="AG328" s="14">
        <v>-240000</v>
      </c>
      <c r="AH328" s="62">
        <v>7200000</v>
      </c>
      <c r="AI328" s="14"/>
      <c r="AJ328" s="14">
        <v>7200000</v>
      </c>
      <c r="AK328" s="14"/>
      <c r="AL328" s="14">
        <v>7200000</v>
      </c>
      <c r="AM328" s="14"/>
      <c r="AN328" s="14">
        <v>7200000</v>
      </c>
      <c r="AO328" s="14"/>
      <c r="AP328" s="14">
        <v>7200000</v>
      </c>
      <c r="AQ328" s="14"/>
      <c r="AR328" s="14">
        <v>7200000</v>
      </c>
      <c r="AS328" s="14"/>
      <c r="AT328" s="14">
        <v>7200000</v>
      </c>
      <c r="AU328" s="15"/>
      <c r="AV328" s="15">
        <v>7200000</v>
      </c>
      <c r="AW328" s="15"/>
      <c r="AX328" s="15">
        <v>7200000</v>
      </c>
      <c r="AY328" s="15"/>
      <c r="AZ328" s="15">
        <v>14400000</v>
      </c>
      <c r="BA328" s="17"/>
      <c r="BB328" s="17"/>
      <c r="BC328" s="18">
        <f t="shared" si="251"/>
        <v>80880000</v>
      </c>
      <c r="BD328" s="18">
        <f t="shared" si="252"/>
        <v>80880000</v>
      </c>
      <c r="BE328" s="19">
        <f t="shared" si="253"/>
        <v>0</v>
      </c>
      <c r="BF328" s="20">
        <f t="shared" si="254"/>
        <v>0</v>
      </c>
      <c r="BG328" s="20">
        <f t="shared" si="255"/>
        <v>0</v>
      </c>
    </row>
    <row r="329" spans="1:59" ht="14.25" customHeight="1">
      <c r="A329" s="147" t="s">
        <v>59</v>
      </c>
      <c r="B329" s="147" t="s">
        <v>804</v>
      </c>
      <c r="C329" s="151" t="s">
        <v>805</v>
      </c>
      <c r="D329" s="151" t="s">
        <v>62</v>
      </c>
      <c r="E329" s="151">
        <v>6</v>
      </c>
      <c r="F329" s="149" t="s">
        <v>928</v>
      </c>
      <c r="G329" s="149" t="s">
        <v>889</v>
      </c>
      <c r="H329" s="149" t="s">
        <v>912</v>
      </c>
      <c r="I329" s="149" t="s">
        <v>924</v>
      </c>
      <c r="J329" s="173">
        <v>80111620</v>
      </c>
      <c r="K329" s="149" t="s">
        <v>914</v>
      </c>
      <c r="L329" s="149" t="s">
        <v>83</v>
      </c>
      <c r="M329" s="147" t="s">
        <v>929</v>
      </c>
      <c r="N329" s="149" t="s">
        <v>85</v>
      </c>
      <c r="O329" s="149" t="s">
        <v>85</v>
      </c>
      <c r="P329" s="149" t="s">
        <v>85</v>
      </c>
      <c r="Q329" s="149">
        <v>11</v>
      </c>
      <c r="R329" s="149" t="s">
        <v>72</v>
      </c>
      <c r="S329" s="149" t="s">
        <v>73</v>
      </c>
      <c r="T329" s="149" t="s">
        <v>896</v>
      </c>
      <c r="U329" s="175">
        <v>41419000</v>
      </c>
      <c r="V329" s="175">
        <v>41419000</v>
      </c>
      <c r="W329" s="149" t="s">
        <v>75</v>
      </c>
      <c r="X329" s="149" t="s">
        <v>67</v>
      </c>
      <c r="Y329" s="147" t="s">
        <v>811</v>
      </c>
      <c r="Z329" s="147" t="s">
        <v>812</v>
      </c>
      <c r="AA329" s="147">
        <v>6012220601</v>
      </c>
      <c r="AB329" s="160" t="s">
        <v>813</v>
      </c>
      <c r="AC329" s="14"/>
      <c r="AD329" s="14"/>
      <c r="AE329" s="14">
        <v>41419000</v>
      </c>
      <c r="AF329" s="14"/>
      <c r="AG329" s="14"/>
      <c r="AH329" s="62">
        <v>2961000</v>
      </c>
      <c r="AI329" s="14">
        <v>-658000</v>
      </c>
      <c r="AJ329" s="14">
        <f>3290000+ 406445</f>
        <v>3696445</v>
      </c>
      <c r="AK329" s="14"/>
      <c r="AL329" s="14">
        <v>3290000</v>
      </c>
      <c r="AM329" s="14"/>
      <c r="AN329" s="14">
        <f>3290000+ 610742</f>
        <v>3900742</v>
      </c>
      <c r="AO329" s="14"/>
      <c r="AP329" s="14">
        <v>3290000</v>
      </c>
      <c r="AQ329" s="14"/>
      <c r="AR329" s="14">
        <v>3290000</v>
      </c>
      <c r="AS329" s="14"/>
      <c r="AT329" s="14">
        <v>3290000</v>
      </c>
      <c r="AU329" s="15"/>
      <c r="AV329" s="15">
        <v>3290000</v>
      </c>
      <c r="AW329" s="15"/>
      <c r="AX329" s="15">
        <v>3290000</v>
      </c>
      <c r="AY329" s="15"/>
      <c r="AZ329" s="15">
        <v>10462813</v>
      </c>
      <c r="BA329" s="33">
        <v>658000</v>
      </c>
      <c r="BB329" s="33">
        <v>658000</v>
      </c>
      <c r="BC329" s="18">
        <f t="shared" si="251"/>
        <v>41419000</v>
      </c>
      <c r="BD329" s="18">
        <f t="shared" si="252"/>
        <v>41419000</v>
      </c>
      <c r="BE329" s="19">
        <f t="shared" si="253"/>
        <v>0</v>
      </c>
      <c r="BF329" s="20">
        <f t="shared" si="254"/>
        <v>0</v>
      </c>
      <c r="BG329" s="20">
        <f t="shared" si="255"/>
        <v>0</v>
      </c>
    </row>
    <row r="330" spans="1:59" ht="14.25" customHeight="1">
      <c r="A330" s="149" t="s">
        <v>59</v>
      </c>
      <c r="B330" s="149" t="s">
        <v>804</v>
      </c>
      <c r="C330" s="151" t="s">
        <v>805</v>
      </c>
      <c r="D330" s="151" t="s">
        <v>62</v>
      </c>
      <c r="E330" s="151">
        <v>35</v>
      </c>
      <c r="F330" s="149" t="s">
        <v>930</v>
      </c>
      <c r="G330" s="149" t="s">
        <v>889</v>
      </c>
      <c r="H330" s="149" t="s">
        <v>912</v>
      </c>
      <c r="I330" s="149" t="s">
        <v>924</v>
      </c>
      <c r="J330" s="173">
        <v>80111620</v>
      </c>
      <c r="K330" s="149" t="s">
        <v>914</v>
      </c>
      <c r="L330" s="149" t="s">
        <v>83</v>
      </c>
      <c r="M330" s="147" t="s">
        <v>931</v>
      </c>
      <c r="N330" s="149" t="s">
        <v>142</v>
      </c>
      <c r="O330" s="149" t="s">
        <v>142</v>
      </c>
      <c r="P330" s="149" t="s">
        <v>71</v>
      </c>
      <c r="Q330" s="149">
        <v>5</v>
      </c>
      <c r="R330" s="149" t="s">
        <v>72</v>
      </c>
      <c r="S330" s="149" t="s">
        <v>73</v>
      </c>
      <c r="T330" s="149" t="s">
        <v>896</v>
      </c>
      <c r="U330" s="192">
        <v>6920000</v>
      </c>
      <c r="V330" s="175">
        <v>6920000</v>
      </c>
      <c r="W330" s="149" t="s">
        <v>75</v>
      </c>
      <c r="X330" s="149" t="s">
        <v>67</v>
      </c>
      <c r="Y330" s="147" t="s">
        <v>811</v>
      </c>
      <c r="Z330" s="147" t="s">
        <v>812</v>
      </c>
      <c r="AA330" s="147">
        <v>6012220601</v>
      </c>
      <c r="AB330" s="160" t="s">
        <v>813</v>
      </c>
      <c r="AC330" s="14"/>
      <c r="AD330" s="14"/>
      <c r="AE330" s="14"/>
      <c r="AF330" s="14"/>
      <c r="AG330" s="14"/>
      <c r="AH330" s="62"/>
      <c r="AI330" s="14"/>
      <c r="AJ330" s="14"/>
      <c r="AK330" s="14"/>
      <c r="AL330" s="14"/>
      <c r="AM330" s="14"/>
      <c r="AN330" s="14"/>
      <c r="AO330" s="14"/>
      <c r="AP330" s="14"/>
      <c r="AQ330" s="14"/>
      <c r="AR330" s="14"/>
      <c r="AS330" s="14">
        <f>6920000-2080785</f>
        <v>4839215</v>
      </c>
      <c r="AT330" s="14"/>
      <c r="AU330" s="25"/>
      <c r="AV330" s="25"/>
      <c r="AW330" s="25"/>
      <c r="AX330" s="25">
        <v>3285450</v>
      </c>
      <c r="AY330" s="25"/>
      <c r="AZ330" s="25">
        <v>1553765</v>
      </c>
      <c r="BA330" s="33">
        <v>2080785</v>
      </c>
      <c r="BB330" s="33">
        <v>2080785</v>
      </c>
      <c r="BC330" s="18">
        <f t="shared" si="251"/>
        <v>6920000</v>
      </c>
      <c r="BD330" s="18">
        <f t="shared" si="252"/>
        <v>6920000</v>
      </c>
      <c r="BE330" s="19">
        <f t="shared" si="253"/>
        <v>0</v>
      </c>
      <c r="BF330" s="20">
        <f t="shared" si="254"/>
        <v>0</v>
      </c>
      <c r="BG330" s="20">
        <f t="shared" si="255"/>
        <v>0</v>
      </c>
    </row>
    <row r="331" spans="1:59" ht="14.25" customHeight="1">
      <c r="A331" s="149" t="s">
        <v>59</v>
      </c>
      <c r="B331" s="149" t="s">
        <v>804</v>
      </c>
      <c r="C331" s="151" t="s">
        <v>805</v>
      </c>
      <c r="D331" s="151" t="s">
        <v>62</v>
      </c>
      <c r="E331" s="151">
        <v>35</v>
      </c>
      <c r="F331" s="149" t="s">
        <v>932</v>
      </c>
      <c r="G331" s="149" t="s">
        <v>889</v>
      </c>
      <c r="H331" s="147" t="s">
        <v>890</v>
      </c>
      <c r="I331" s="147" t="s">
        <v>891</v>
      </c>
      <c r="J331" s="173">
        <v>80111620</v>
      </c>
      <c r="K331" s="149" t="s">
        <v>824</v>
      </c>
      <c r="L331" s="149" t="s">
        <v>83</v>
      </c>
      <c r="M331" s="147" t="s">
        <v>933</v>
      </c>
      <c r="N331" s="149" t="s">
        <v>85</v>
      </c>
      <c r="O331" s="149" t="s">
        <v>85</v>
      </c>
      <c r="P331" s="149" t="s">
        <v>85</v>
      </c>
      <c r="Q331" s="149">
        <v>10.5</v>
      </c>
      <c r="R331" s="149" t="s">
        <v>72</v>
      </c>
      <c r="S331" s="149" t="s">
        <v>73</v>
      </c>
      <c r="T331" s="147" t="s">
        <v>74</v>
      </c>
      <c r="U331" s="192">
        <v>39315186</v>
      </c>
      <c r="V331" s="175">
        <v>39315186</v>
      </c>
      <c r="W331" s="149" t="s">
        <v>75</v>
      </c>
      <c r="X331" s="149" t="s">
        <v>67</v>
      </c>
      <c r="Y331" s="147" t="s">
        <v>811</v>
      </c>
      <c r="Z331" s="147" t="s">
        <v>812</v>
      </c>
      <c r="AA331" s="147">
        <v>6012220601</v>
      </c>
      <c r="AB331" s="160" t="s">
        <v>813</v>
      </c>
      <c r="AC331" s="14"/>
      <c r="AD331" s="14"/>
      <c r="AE331" s="14">
        <v>40948519</v>
      </c>
      <c r="AF331" s="14"/>
      <c r="AG331" s="14"/>
      <c r="AH331" s="62"/>
      <c r="AI331" s="14"/>
      <c r="AJ331" s="14"/>
      <c r="AK331" s="14"/>
      <c r="AL331" s="14"/>
      <c r="AM331" s="14"/>
      <c r="AN331" s="14"/>
      <c r="AO331" s="14">
        <v>-1633333</v>
      </c>
      <c r="AP331" s="14"/>
      <c r="AQ331" s="14"/>
      <c r="AR331" s="14">
        <v>7000000</v>
      </c>
      <c r="AS331" s="14"/>
      <c r="AT331" s="14">
        <f>7000000</f>
        <v>7000000</v>
      </c>
      <c r="AU331" s="25"/>
      <c r="AV331" s="25">
        <v>7000000</v>
      </c>
      <c r="AW331" s="25"/>
      <c r="AX331" s="25">
        <v>7000000</v>
      </c>
      <c r="AY331" s="25"/>
      <c r="AZ331" s="28">
        <v>11315186</v>
      </c>
      <c r="BA331" s="17"/>
      <c r="BB331" s="17"/>
      <c r="BC331" s="18">
        <f t="shared" si="251"/>
        <v>39315186</v>
      </c>
      <c r="BD331" s="18">
        <f t="shared" si="252"/>
        <v>39315186</v>
      </c>
      <c r="BE331" s="19">
        <f t="shared" si="253"/>
        <v>0</v>
      </c>
      <c r="BF331" s="20">
        <f t="shared" si="254"/>
        <v>0</v>
      </c>
      <c r="BG331" s="20">
        <f t="shared" si="255"/>
        <v>0</v>
      </c>
    </row>
    <row r="332" spans="1:59" ht="14.25" customHeight="1">
      <c r="A332" s="149" t="s">
        <v>59</v>
      </c>
      <c r="B332" s="149" t="s">
        <v>804</v>
      </c>
      <c r="C332" s="151" t="s">
        <v>805</v>
      </c>
      <c r="D332" s="151" t="s">
        <v>62</v>
      </c>
      <c r="E332" s="151">
        <v>47</v>
      </c>
      <c r="F332" s="149" t="s">
        <v>934</v>
      </c>
      <c r="G332" s="149" t="s">
        <v>889</v>
      </c>
      <c r="H332" s="147" t="s">
        <v>890</v>
      </c>
      <c r="I332" s="147" t="s">
        <v>891</v>
      </c>
      <c r="J332" s="173">
        <v>80111620</v>
      </c>
      <c r="K332" s="149" t="s">
        <v>824</v>
      </c>
      <c r="L332" s="147" t="s">
        <v>83</v>
      </c>
      <c r="M332" s="147" t="s">
        <v>935</v>
      </c>
      <c r="N332" s="149" t="s">
        <v>71</v>
      </c>
      <c r="O332" s="149" t="s">
        <v>71</v>
      </c>
      <c r="P332" s="149" t="s">
        <v>180</v>
      </c>
      <c r="Q332" s="149">
        <v>3</v>
      </c>
      <c r="R332" s="149" t="s">
        <v>72</v>
      </c>
      <c r="S332" s="165" t="s">
        <v>156</v>
      </c>
      <c r="T332" s="149" t="s">
        <v>896</v>
      </c>
      <c r="U332" s="175">
        <v>30000000</v>
      </c>
      <c r="V332" s="175">
        <v>30000000</v>
      </c>
      <c r="W332" s="149" t="s">
        <v>75</v>
      </c>
      <c r="X332" s="149" t="s">
        <v>67</v>
      </c>
      <c r="Y332" s="147" t="s">
        <v>811</v>
      </c>
      <c r="Z332" s="147" t="s">
        <v>812</v>
      </c>
      <c r="AA332" s="147">
        <v>6012220601</v>
      </c>
      <c r="AB332" s="160" t="s">
        <v>813</v>
      </c>
      <c r="AC332" s="14"/>
      <c r="AD332" s="14"/>
      <c r="AE332" s="14"/>
      <c r="AF332" s="14"/>
      <c r="AG332" s="14"/>
      <c r="AH332" s="62"/>
      <c r="AI332" s="14"/>
      <c r="AJ332" s="14"/>
      <c r="AK332" s="14"/>
      <c r="AL332" s="14"/>
      <c r="AM332" s="14"/>
      <c r="AN332" s="14"/>
      <c r="AO332" s="14"/>
      <c r="AP332" s="14"/>
      <c r="AQ332" s="14"/>
      <c r="AR332" s="14"/>
      <c r="AS332" s="14"/>
      <c r="AT332" s="14"/>
      <c r="AU332" s="28">
        <v>18933333</v>
      </c>
      <c r="AV332" s="25"/>
      <c r="AW332" s="25"/>
      <c r="AX332" s="28">
        <v>2933333</v>
      </c>
      <c r="AY332" s="25"/>
      <c r="AZ332" s="28">
        <v>16000000</v>
      </c>
      <c r="BA332" s="33">
        <v>11066667</v>
      </c>
      <c r="BB332" s="33">
        <v>11066667</v>
      </c>
      <c r="BC332" s="18">
        <f t="shared" si="251"/>
        <v>30000000</v>
      </c>
      <c r="BD332" s="18">
        <f t="shared" si="252"/>
        <v>30000000</v>
      </c>
      <c r="BE332" s="19">
        <f t="shared" si="253"/>
        <v>0</v>
      </c>
      <c r="BF332" s="20">
        <f t="shared" si="254"/>
        <v>0</v>
      </c>
      <c r="BG332" s="20">
        <f t="shared" si="255"/>
        <v>0</v>
      </c>
    </row>
    <row r="333" spans="1:59" ht="14.25" customHeight="1">
      <c r="A333" s="149" t="s">
        <v>59</v>
      </c>
      <c r="B333" s="149" t="s">
        <v>804</v>
      </c>
      <c r="C333" s="151" t="s">
        <v>805</v>
      </c>
      <c r="D333" s="151" t="s">
        <v>62</v>
      </c>
      <c r="E333" s="151">
        <v>35</v>
      </c>
      <c r="F333" s="149" t="s">
        <v>936</v>
      </c>
      <c r="G333" s="149" t="s">
        <v>889</v>
      </c>
      <c r="H333" s="147" t="s">
        <v>890</v>
      </c>
      <c r="I333" s="147" t="s">
        <v>891</v>
      </c>
      <c r="J333" s="173">
        <v>80111620</v>
      </c>
      <c r="K333" s="149" t="s">
        <v>824</v>
      </c>
      <c r="L333" s="147" t="s">
        <v>83</v>
      </c>
      <c r="M333" s="147" t="s">
        <v>937</v>
      </c>
      <c r="N333" s="149" t="s">
        <v>91</v>
      </c>
      <c r="O333" s="149" t="s">
        <v>91</v>
      </c>
      <c r="P333" s="149" t="s">
        <v>91</v>
      </c>
      <c r="Q333" s="147">
        <v>3</v>
      </c>
      <c r="R333" s="149" t="s">
        <v>72</v>
      </c>
      <c r="S333" s="147" t="s">
        <v>73</v>
      </c>
      <c r="T333" s="149" t="s">
        <v>896</v>
      </c>
      <c r="U333" s="194">
        <v>18000000</v>
      </c>
      <c r="V333" s="175">
        <v>18000000</v>
      </c>
      <c r="W333" s="149" t="s">
        <v>75</v>
      </c>
      <c r="X333" s="149" t="s">
        <v>67</v>
      </c>
      <c r="Y333" s="147" t="s">
        <v>811</v>
      </c>
      <c r="Z333" s="147" t="s">
        <v>812</v>
      </c>
      <c r="AA333" s="147">
        <v>6012220601</v>
      </c>
      <c r="AB333" s="160" t="s">
        <v>813</v>
      </c>
      <c r="AC333" s="14"/>
      <c r="AD333" s="14"/>
      <c r="AE333" s="14"/>
      <c r="AF333" s="14"/>
      <c r="AG333" s="14"/>
      <c r="AH333" s="62"/>
      <c r="AI333" s="14">
        <v>18000000</v>
      </c>
      <c r="AJ333" s="14"/>
      <c r="AK333" s="14"/>
      <c r="AL333" s="14">
        <v>4400000</v>
      </c>
      <c r="AM333" s="14"/>
      <c r="AN333" s="14">
        <v>6000000</v>
      </c>
      <c r="AO333" s="14"/>
      <c r="AP333" s="14">
        <v>6000000</v>
      </c>
      <c r="AQ333" s="14"/>
      <c r="AR333" s="14">
        <v>1600000</v>
      </c>
      <c r="AS333" s="14"/>
      <c r="AT333" s="14"/>
      <c r="AU333" s="25"/>
      <c r="AV333" s="25"/>
      <c r="AW333" s="25"/>
      <c r="AX333" s="25"/>
      <c r="AY333" s="25"/>
      <c r="AZ333" s="25"/>
      <c r="BA333" s="17"/>
      <c r="BB333" s="17"/>
      <c r="BC333" s="18">
        <f t="shared" si="251"/>
        <v>18000000</v>
      </c>
      <c r="BD333" s="18">
        <f t="shared" si="252"/>
        <v>18000000</v>
      </c>
      <c r="BE333" s="19">
        <f t="shared" si="253"/>
        <v>0</v>
      </c>
      <c r="BF333" s="20">
        <f t="shared" si="254"/>
        <v>0</v>
      </c>
      <c r="BG333" s="20">
        <f t="shared" si="255"/>
        <v>0</v>
      </c>
    </row>
    <row r="334" spans="1:59" ht="14.25" customHeight="1">
      <c r="A334" s="149" t="s">
        <v>59</v>
      </c>
      <c r="B334" s="149" t="s">
        <v>804</v>
      </c>
      <c r="C334" s="151" t="s">
        <v>805</v>
      </c>
      <c r="D334" s="151" t="s">
        <v>62</v>
      </c>
      <c r="E334" s="151">
        <v>16</v>
      </c>
      <c r="F334" s="149" t="s">
        <v>938</v>
      </c>
      <c r="G334" s="149" t="s">
        <v>889</v>
      </c>
      <c r="H334" s="147" t="s">
        <v>890</v>
      </c>
      <c r="I334" s="147" t="s">
        <v>827</v>
      </c>
      <c r="J334" s="173">
        <v>43233501</v>
      </c>
      <c r="K334" s="149" t="s">
        <v>824</v>
      </c>
      <c r="L334" s="147" t="s">
        <v>333</v>
      </c>
      <c r="M334" s="147" t="s">
        <v>939</v>
      </c>
      <c r="N334" s="149" t="s">
        <v>100</v>
      </c>
      <c r="O334" s="149" t="s">
        <v>142</v>
      </c>
      <c r="P334" s="149" t="s">
        <v>71</v>
      </c>
      <c r="Q334" s="147">
        <v>12</v>
      </c>
      <c r="R334" s="149" t="s">
        <v>72</v>
      </c>
      <c r="S334" s="147" t="s">
        <v>143</v>
      </c>
      <c r="T334" s="149" t="s">
        <v>896</v>
      </c>
      <c r="U334" s="175">
        <v>15688606</v>
      </c>
      <c r="V334" s="175">
        <v>15688606</v>
      </c>
      <c r="W334" s="149" t="s">
        <v>75</v>
      </c>
      <c r="X334" s="149" t="s">
        <v>67</v>
      </c>
      <c r="Y334" s="147" t="s">
        <v>811</v>
      </c>
      <c r="Z334" s="147" t="s">
        <v>812</v>
      </c>
      <c r="AA334" s="147">
        <v>6012220601</v>
      </c>
      <c r="AB334" s="160" t="s">
        <v>813</v>
      </c>
      <c r="AC334" s="14"/>
      <c r="AD334" s="14"/>
      <c r="AE334" s="14"/>
      <c r="AF334" s="14"/>
      <c r="AG334" s="14"/>
      <c r="AH334" s="14"/>
      <c r="AI334" s="14"/>
      <c r="AJ334" s="14"/>
      <c r="AK334" s="14"/>
      <c r="AL334" s="14"/>
      <c r="AM334" s="14"/>
      <c r="AN334" s="14"/>
      <c r="AO334" s="14"/>
      <c r="AP334" s="14"/>
      <c r="AQ334" s="14"/>
      <c r="AR334" s="14"/>
      <c r="AS334" s="14"/>
      <c r="AT334" s="14"/>
      <c r="AU334" s="25">
        <v>15688606</v>
      </c>
      <c r="AV334" s="25"/>
      <c r="AW334" s="25"/>
      <c r="AX334" s="25"/>
      <c r="AY334" s="25"/>
      <c r="AZ334" s="25">
        <v>15688606</v>
      </c>
      <c r="BA334" s="17"/>
      <c r="BB334" s="17"/>
      <c r="BC334" s="18">
        <f t="shared" si="251"/>
        <v>15688606</v>
      </c>
      <c r="BD334" s="18">
        <f t="shared" si="252"/>
        <v>15688606</v>
      </c>
      <c r="BE334" s="19">
        <f t="shared" si="253"/>
        <v>0</v>
      </c>
      <c r="BF334" s="20">
        <f t="shared" si="254"/>
        <v>0</v>
      </c>
      <c r="BG334" s="20">
        <f t="shared" si="255"/>
        <v>0</v>
      </c>
    </row>
    <row r="335" spans="1:59" ht="14.25" customHeight="1">
      <c r="A335" s="149" t="s">
        <v>59</v>
      </c>
      <c r="B335" s="149" t="s">
        <v>804</v>
      </c>
      <c r="C335" s="151" t="s">
        <v>805</v>
      </c>
      <c r="D335" s="151" t="s">
        <v>62</v>
      </c>
      <c r="E335" s="151">
        <v>35</v>
      </c>
      <c r="F335" s="149" t="s">
        <v>940</v>
      </c>
      <c r="G335" s="147" t="s">
        <v>841</v>
      </c>
      <c r="H335" s="147" t="s">
        <v>842</v>
      </c>
      <c r="I335" s="147" t="s">
        <v>819</v>
      </c>
      <c r="J335" s="164">
        <v>80111620</v>
      </c>
      <c r="K335" s="147" t="s">
        <v>809</v>
      </c>
      <c r="L335" s="147" t="s">
        <v>83</v>
      </c>
      <c r="M335" s="147" t="s">
        <v>941</v>
      </c>
      <c r="N335" s="149" t="s">
        <v>128</v>
      </c>
      <c r="O335" s="149" t="s">
        <v>128</v>
      </c>
      <c r="P335" s="147" t="s">
        <v>100</v>
      </c>
      <c r="Q335" s="147">
        <v>6.5</v>
      </c>
      <c r="R335" s="147" t="s">
        <v>72</v>
      </c>
      <c r="S335" s="147" t="s">
        <v>893</v>
      </c>
      <c r="T335" s="147" t="s">
        <v>74</v>
      </c>
      <c r="U335" s="192">
        <v>4533333</v>
      </c>
      <c r="V335" s="175">
        <v>4533333</v>
      </c>
      <c r="W335" s="147" t="s">
        <v>75</v>
      </c>
      <c r="X335" s="147" t="s">
        <v>67</v>
      </c>
      <c r="Y335" s="147" t="s">
        <v>811</v>
      </c>
      <c r="Z335" s="147" t="s">
        <v>812</v>
      </c>
      <c r="AA335" s="147">
        <v>6012220601</v>
      </c>
      <c r="AB335" s="160" t="s">
        <v>813</v>
      </c>
      <c r="AC335" s="14"/>
      <c r="AD335" s="14"/>
      <c r="AE335" s="14"/>
      <c r="AF335" s="14"/>
      <c r="AG335" s="14"/>
      <c r="AH335" s="14"/>
      <c r="AI335" s="14"/>
      <c r="AJ335" s="14"/>
      <c r="AK335" s="14"/>
      <c r="AL335" s="14"/>
      <c r="AM335" s="14"/>
      <c r="AN335" s="14"/>
      <c r="AO335" s="14">
        <v>4533333</v>
      </c>
      <c r="AP335" s="14"/>
      <c r="AQ335" s="14"/>
      <c r="AR335" s="14"/>
      <c r="AS335" s="14">
        <v>-2166667</v>
      </c>
      <c r="AT335" s="14">
        <v>333333</v>
      </c>
      <c r="AU335" s="28"/>
      <c r="AV335" s="28"/>
      <c r="AW335" s="25"/>
      <c r="AX335" s="25"/>
      <c r="AY335" s="25"/>
      <c r="AZ335" s="28">
        <v>2033333</v>
      </c>
      <c r="BA335" s="33">
        <v>2166667</v>
      </c>
      <c r="BB335" s="33">
        <v>2166667</v>
      </c>
      <c r="BC335" s="18">
        <f t="shared" si="251"/>
        <v>4533333</v>
      </c>
      <c r="BD335" s="18">
        <f t="shared" si="252"/>
        <v>4533333</v>
      </c>
      <c r="BE335" s="19">
        <f t="shared" si="253"/>
        <v>0</v>
      </c>
      <c r="BF335" s="20">
        <f t="shared" si="254"/>
        <v>0</v>
      </c>
      <c r="BG335" s="20">
        <f t="shared" si="255"/>
        <v>0</v>
      </c>
    </row>
    <row r="336" spans="1:59" ht="14.25" customHeight="1">
      <c r="A336" s="149" t="s">
        <v>59</v>
      </c>
      <c r="B336" s="149" t="s">
        <v>804</v>
      </c>
      <c r="C336" s="151" t="s">
        <v>805</v>
      </c>
      <c r="D336" s="151" t="s">
        <v>62</v>
      </c>
      <c r="E336" s="151">
        <v>35</v>
      </c>
      <c r="F336" s="149" t="s">
        <v>942</v>
      </c>
      <c r="G336" s="147" t="s">
        <v>841</v>
      </c>
      <c r="H336" s="147" t="s">
        <v>869</v>
      </c>
      <c r="I336" s="147" t="s">
        <v>827</v>
      </c>
      <c r="J336" s="164">
        <v>80111620</v>
      </c>
      <c r="K336" s="149" t="s">
        <v>870</v>
      </c>
      <c r="L336" s="147" t="s">
        <v>83</v>
      </c>
      <c r="M336" s="147" t="s">
        <v>943</v>
      </c>
      <c r="N336" s="149" t="s">
        <v>142</v>
      </c>
      <c r="O336" s="149" t="s">
        <v>142</v>
      </c>
      <c r="P336" s="149" t="s">
        <v>142</v>
      </c>
      <c r="Q336" s="147">
        <v>5</v>
      </c>
      <c r="R336" s="147" t="s">
        <v>72</v>
      </c>
      <c r="S336" s="147" t="s">
        <v>73</v>
      </c>
      <c r="T336" s="147" t="s">
        <v>74</v>
      </c>
      <c r="U336" s="192">
        <v>10361660</v>
      </c>
      <c r="V336" s="175">
        <v>10361660</v>
      </c>
      <c r="W336" s="147" t="s">
        <v>75</v>
      </c>
      <c r="X336" s="147" t="s">
        <v>67</v>
      </c>
      <c r="Y336" s="147" t="s">
        <v>811</v>
      </c>
      <c r="Z336" s="147" t="s">
        <v>812</v>
      </c>
      <c r="AA336" s="147">
        <v>6012220601</v>
      </c>
      <c r="AB336" s="160" t="s">
        <v>813</v>
      </c>
      <c r="AC336" s="14"/>
      <c r="AD336" s="14"/>
      <c r="AE336" s="14"/>
      <c r="AF336" s="14"/>
      <c r="AG336" s="14"/>
      <c r="AH336" s="14"/>
      <c r="AI336" s="14"/>
      <c r="AJ336" s="14"/>
      <c r="AK336" s="14"/>
      <c r="AL336" s="14"/>
      <c r="AM336" s="14"/>
      <c r="AN336" s="14"/>
      <c r="AO336" s="14"/>
      <c r="AP336" s="14"/>
      <c r="AQ336" s="14">
        <v>10361660</v>
      </c>
      <c r="AR336" s="14"/>
      <c r="AS336" s="14"/>
      <c r="AT336" s="14"/>
      <c r="AU336" s="28"/>
      <c r="AV336" s="28">
        <v>4590600</v>
      </c>
      <c r="AW336" s="25"/>
      <c r="AX336" s="28">
        <v>4590600</v>
      </c>
      <c r="AY336" s="25"/>
      <c r="AZ336" s="28">
        <v>1180460</v>
      </c>
      <c r="BA336" s="17"/>
      <c r="BB336" s="17"/>
      <c r="BC336" s="18">
        <f t="shared" si="251"/>
        <v>10361660</v>
      </c>
      <c r="BD336" s="18">
        <f t="shared" si="252"/>
        <v>10361660</v>
      </c>
      <c r="BE336" s="19">
        <f t="shared" si="253"/>
        <v>0</v>
      </c>
      <c r="BF336" s="20">
        <f t="shared" si="254"/>
        <v>0</v>
      </c>
      <c r="BG336" s="20">
        <f t="shared" si="255"/>
        <v>0</v>
      </c>
    </row>
    <row r="337" spans="1:59" ht="14.25" customHeight="1">
      <c r="A337" s="149" t="s">
        <v>59</v>
      </c>
      <c r="B337" s="149" t="s">
        <v>804</v>
      </c>
      <c r="C337" s="151" t="s">
        <v>805</v>
      </c>
      <c r="D337" s="151" t="s">
        <v>62</v>
      </c>
      <c r="E337" s="151">
        <v>35</v>
      </c>
      <c r="F337" s="149" t="s">
        <v>944</v>
      </c>
      <c r="G337" s="147" t="s">
        <v>841</v>
      </c>
      <c r="H337" s="147" t="s">
        <v>842</v>
      </c>
      <c r="I337" s="147" t="s">
        <v>819</v>
      </c>
      <c r="J337" s="164">
        <v>80111620</v>
      </c>
      <c r="K337" s="147" t="s">
        <v>809</v>
      </c>
      <c r="L337" s="147" t="s">
        <v>83</v>
      </c>
      <c r="M337" s="147" t="s">
        <v>945</v>
      </c>
      <c r="N337" s="149" t="s">
        <v>142</v>
      </c>
      <c r="O337" s="149" t="s">
        <v>142</v>
      </c>
      <c r="P337" s="149" t="s">
        <v>142</v>
      </c>
      <c r="Q337" s="147">
        <v>5</v>
      </c>
      <c r="R337" s="147" t="s">
        <v>72</v>
      </c>
      <c r="S337" s="147" t="s">
        <v>73</v>
      </c>
      <c r="T337" s="147" t="s">
        <v>74</v>
      </c>
      <c r="U337" s="192">
        <v>5000000</v>
      </c>
      <c r="V337" s="175">
        <v>5000000</v>
      </c>
      <c r="W337" s="147" t="s">
        <v>75</v>
      </c>
      <c r="X337" s="147" t="s">
        <v>67</v>
      </c>
      <c r="Y337" s="147" t="s">
        <v>811</v>
      </c>
      <c r="Z337" s="147" t="s">
        <v>812</v>
      </c>
      <c r="AA337" s="147">
        <v>6012220601</v>
      </c>
      <c r="AB337" s="160" t="s">
        <v>813</v>
      </c>
      <c r="AC337" s="14"/>
      <c r="AD337" s="14"/>
      <c r="AE337" s="14"/>
      <c r="AF337" s="14"/>
      <c r="AG337" s="14"/>
      <c r="AH337" s="14"/>
      <c r="AI337" s="14"/>
      <c r="AJ337" s="14"/>
      <c r="AK337" s="14"/>
      <c r="AL337" s="14"/>
      <c r="AM337" s="14"/>
      <c r="AN337" s="14"/>
      <c r="AO337" s="14"/>
      <c r="AP337" s="14"/>
      <c r="AQ337" s="14">
        <v>5000000</v>
      </c>
      <c r="AR337" s="14"/>
      <c r="AS337" s="14"/>
      <c r="AT337" s="14"/>
      <c r="AU337" s="28"/>
      <c r="AV337" s="25"/>
      <c r="AW337" s="25"/>
      <c r="AX337" s="25"/>
      <c r="AY337" s="25"/>
      <c r="AZ337" s="25">
        <v>5000000</v>
      </c>
      <c r="BA337" s="17"/>
      <c r="BB337" s="17"/>
      <c r="BC337" s="18">
        <f t="shared" si="251"/>
        <v>5000000</v>
      </c>
      <c r="BD337" s="18">
        <f t="shared" si="252"/>
        <v>5000000</v>
      </c>
      <c r="BE337" s="19">
        <f t="shared" si="253"/>
        <v>0</v>
      </c>
      <c r="BF337" s="20">
        <f t="shared" si="254"/>
        <v>0</v>
      </c>
      <c r="BG337" s="20">
        <f t="shared" si="255"/>
        <v>0</v>
      </c>
    </row>
    <row r="338" spans="1:59" ht="14.25" customHeight="1">
      <c r="A338" s="149" t="s">
        <v>59</v>
      </c>
      <c r="B338" s="149" t="s">
        <v>804</v>
      </c>
      <c r="C338" s="151" t="s">
        <v>805</v>
      </c>
      <c r="D338" s="151" t="s">
        <v>62</v>
      </c>
      <c r="E338" s="151">
        <v>35</v>
      </c>
      <c r="F338" s="149" t="s">
        <v>946</v>
      </c>
      <c r="G338" s="149" t="s">
        <v>889</v>
      </c>
      <c r="H338" s="147" t="s">
        <v>890</v>
      </c>
      <c r="I338" s="147" t="s">
        <v>891</v>
      </c>
      <c r="J338" s="164">
        <v>80111620</v>
      </c>
      <c r="K338" s="149" t="s">
        <v>824</v>
      </c>
      <c r="L338" s="147" t="s">
        <v>83</v>
      </c>
      <c r="M338" s="147" t="s">
        <v>947</v>
      </c>
      <c r="N338" s="149" t="s">
        <v>142</v>
      </c>
      <c r="O338" s="149" t="s">
        <v>142</v>
      </c>
      <c r="P338" s="149" t="s">
        <v>142</v>
      </c>
      <c r="Q338" s="147">
        <v>5</v>
      </c>
      <c r="R338" s="147" t="s">
        <v>72</v>
      </c>
      <c r="S338" s="147" t="s">
        <v>73</v>
      </c>
      <c r="T338" s="147" t="s">
        <v>74</v>
      </c>
      <c r="U338" s="192">
        <v>2883691</v>
      </c>
      <c r="V338" s="175">
        <v>2883691</v>
      </c>
      <c r="W338" s="147" t="s">
        <v>75</v>
      </c>
      <c r="X338" s="147" t="s">
        <v>67</v>
      </c>
      <c r="Y338" s="147" t="s">
        <v>811</v>
      </c>
      <c r="Z338" s="147" t="s">
        <v>812</v>
      </c>
      <c r="AA338" s="147">
        <v>6012220601</v>
      </c>
      <c r="AB338" s="160" t="s">
        <v>813</v>
      </c>
      <c r="AC338" s="14"/>
      <c r="AD338" s="14"/>
      <c r="AE338" s="14"/>
      <c r="AF338" s="14"/>
      <c r="AG338" s="14"/>
      <c r="AH338" s="14"/>
      <c r="AI338" s="14"/>
      <c r="AJ338" s="14"/>
      <c r="AK338" s="14"/>
      <c r="AL338" s="14"/>
      <c r="AM338" s="14"/>
      <c r="AN338" s="14"/>
      <c r="AO338" s="14"/>
      <c r="AP338" s="14"/>
      <c r="AQ338" s="14">
        <v>1035169</v>
      </c>
      <c r="AR338" s="14"/>
      <c r="AS338" s="14"/>
      <c r="AT338" s="14"/>
      <c r="AU338" s="28">
        <v>-918120</v>
      </c>
      <c r="AV338" s="25"/>
      <c r="AW338" s="25"/>
      <c r="AX338" s="14"/>
      <c r="AY338" s="25"/>
      <c r="AZ338" s="14">
        <v>2883691</v>
      </c>
      <c r="BA338" s="33">
        <v>2766642</v>
      </c>
      <c r="BB338" s="17"/>
      <c r="BC338" s="18">
        <f t="shared" si="251"/>
        <v>2883691</v>
      </c>
      <c r="BD338" s="18">
        <f t="shared" si="252"/>
        <v>2883691</v>
      </c>
      <c r="BE338" s="19">
        <f t="shared" si="253"/>
        <v>0</v>
      </c>
      <c r="BF338" s="20">
        <f t="shared" si="254"/>
        <v>0</v>
      </c>
      <c r="BG338" s="20">
        <f t="shared" si="255"/>
        <v>0</v>
      </c>
    </row>
    <row r="339" spans="1:59" ht="14.25" customHeight="1">
      <c r="A339" s="149" t="s">
        <v>59</v>
      </c>
      <c r="B339" s="149" t="s">
        <v>804</v>
      </c>
      <c r="C339" s="151" t="s">
        <v>805</v>
      </c>
      <c r="D339" s="151" t="s">
        <v>62</v>
      </c>
      <c r="E339" s="151">
        <v>35</v>
      </c>
      <c r="F339" s="149" t="s">
        <v>948</v>
      </c>
      <c r="G339" s="149" t="s">
        <v>889</v>
      </c>
      <c r="H339" s="147" t="s">
        <v>890</v>
      </c>
      <c r="I339" s="147" t="s">
        <v>891</v>
      </c>
      <c r="J339" s="164">
        <v>80111620</v>
      </c>
      <c r="K339" s="149" t="s">
        <v>824</v>
      </c>
      <c r="L339" s="147" t="s">
        <v>83</v>
      </c>
      <c r="M339" s="147" t="s">
        <v>949</v>
      </c>
      <c r="N339" s="149" t="s">
        <v>142</v>
      </c>
      <c r="O339" s="149" t="s">
        <v>142</v>
      </c>
      <c r="P339" s="149" t="s">
        <v>142</v>
      </c>
      <c r="Q339" s="147">
        <v>5</v>
      </c>
      <c r="R339" s="147" t="s">
        <v>72</v>
      </c>
      <c r="S339" s="147" t="s">
        <v>73</v>
      </c>
      <c r="T339" s="147" t="s">
        <v>896</v>
      </c>
      <c r="U339" s="192">
        <v>6048351</v>
      </c>
      <c r="V339" s="175">
        <v>6048351</v>
      </c>
      <c r="W339" s="147" t="s">
        <v>75</v>
      </c>
      <c r="X339" s="147" t="s">
        <v>67</v>
      </c>
      <c r="Y339" s="147" t="s">
        <v>811</v>
      </c>
      <c r="Z339" s="147" t="s">
        <v>812</v>
      </c>
      <c r="AA339" s="147">
        <v>6012220601</v>
      </c>
      <c r="AB339" s="160" t="s">
        <v>813</v>
      </c>
      <c r="AC339" s="14"/>
      <c r="AD339" s="14"/>
      <c r="AE339" s="14"/>
      <c r="AF339" s="14"/>
      <c r="AG339" s="14"/>
      <c r="AH339" s="14"/>
      <c r="AI339" s="14"/>
      <c r="AJ339" s="14"/>
      <c r="AK339" s="14"/>
      <c r="AL339" s="14"/>
      <c r="AM339" s="14"/>
      <c r="AN339" s="14"/>
      <c r="AO339" s="14"/>
      <c r="AP339" s="14"/>
      <c r="AQ339" s="14">
        <v>2883691</v>
      </c>
      <c r="AR339" s="14"/>
      <c r="AS339" s="14"/>
      <c r="AT339" s="14"/>
      <c r="AU339" s="25"/>
      <c r="AV339" s="25"/>
      <c r="AW339" s="25"/>
      <c r="AX339" s="25"/>
      <c r="AY339" s="25"/>
      <c r="AZ339" s="28">
        <v>117049</v>
      </c>
      <c r="BA339" s="33">
        <v>3164660</v>
      </c>
      <c r="BB339" s="33">
        <v>5931302</v>
      </c>
      <c r="BC339" s="18">
        <f t="shared" si="251"/>
        <v>6048351</v>
      </c>
      <c r="BD339" s="18">
        <f t="shared" si="252"/>
        <v>6048351</v>
      </c>
      <c r="BE339" s="19">
        <f t="shared" si="253"/>
        <v>0</v>
      </c>
      <c r="BF339" s="20">
        <f t="shared" si="254"/>
        <v>0</v>
      </c>
      <c r="BG339" s="20">
        <f t="shared" si="255"/>
        <v>0</v>
      </c>
    </row>
    <row r="340" spans="1:59" ht="14.25" customHeight="1">
      <c r="A340" s="149" t="s">
        <v>59</v>
      </c>
      <c r="B340" s="149" t="s">
        <v>804</v>
      </c>
      <c r="C340" s="151" t="s">
        <v>805</v>
      </c>
      <c r="D340" s="151" t="s">
        <v>62</v>
      </c>
      <c r="E340" s="151">
        <v>35</v>
      </c>
      <c r="F340" s="149" t="s">
        <v>950</v>
      </c>
      <c r="G340" s="149" t="s">
        <v>889</v>
      </c>
      <c r="H340" s="147" t="s">
        <v>912</v>
      </c>
      <c r="I340" s="147" t="s">
        <v>913</v>
      </c>
      <c r="J340" s="164">
        <v>80111620</v>
      </c>
      <c r="K340" s="149" t="s">
        <v>914</v>
      </c>
      <c r="L340" s="147" t="s">
        <v>83</v>
      </c>
      <c r="M340" s="147" t="s">
        <v>951</v>
      </c>
      <c r="N340" s="149" t="s">
        <v>142</v>
      </c>
      <c r="O340" s="149" t="s">
        <v>142</v>
      </c>
      <c r="P340" s="149" t="s">
        <v>71</v>
      </c>
      <c r="Q340" s="147">
        <v>5</v>
      </c>
      <c r="R340" s="147" t="s">
        <v>72</v>
      </c>
      <c r="S340" s="147" t="s">
        <v>73</v>
      </c>
      <c r="T340" s="147" t="s">
        <v>896</v>
      </c>
      <c r="U340" s="195">
        <v>4600000</v>
      </c>
      <c r="V340" s="175">
        <v>4600000</v>
      </c>
      <c r="W340" s="147" t="s">
        <v>75</v>
      </c>
      <c r="X340" s="147" t="s">
        <v>67</v>
      </c>
      <c r="Y340" s="147" t="s">
        <v>811</v>
      </c>
      <c r="Z340" s="147" t="s">
        <v>812</v>
      </c>
      <c r="AA340" s="147">
        <v>6012220601</v>
      </c>
      <c r="AB340" s="160" t="s">
        <v>813</v>
      </c>
      <c r="AC340" s="14"/>
      <c r="AD340" s="14"/>
      <c r="AE340" s="14"/>
      <c r="AF340" s="14"/>
      <c r="AG340" s="14"/>
      <c r="AH340" s="14"/>
      <c r="AI340" s="14"/>
      <c r="AJ340" s="14"/>
      <c r="AK340" s="14"/>
      <c r="AL340" s="14"/>
      <c r="AM340" s="14"/>
      <c r="AN340" s="14"/>
      <c r="AO340" s="14"/>
      <c r="AP340" s="14"/>
      <c r="AQ340" s="14"/>
      <c r="AR340" s="14"/>
      <c r="AS340" s="14">
        <v>4600000</v>
      </c>
      <c r="AT340" s="14"/>
      <c r="AU340" s="28"/>
      <c r="AV340" s="28">
        <v>766605</v>
      </c>
      <c r="AW340" s="25"/>
      <c r="AX340" s="25"/>
      <c r="AY340" s="25"/>
      <c r="AZ340" s="28">
        <v>3833395</v>
      </c>
      <c r="BA340" s="33"/>
      <c r="BB340" s="33"/>
      <c r="BC340" s="18">
        <f t="shared" si="251"/>
        <v>4600000</v>
      </c>
      <c r="BD340" s="18">
        <f t="shared" si="252"/>
        <v>4600000</v>
      </c>
      <c r="BE340" s="19">
        <f t="shared" si="253"/>
        <v>0</v>
      </c>
      <c r="BF340" s="20">
        <f t="shared" si="254"/>
        <v>0</v>
      </c>
      <c r="BG340" s="20">
        <f t="shared" si="255"/>
        <v>0</v>
      </c>
    </row>
    <row r="341" spans="1:59" ht="14.25" customHeight="1">
      <c r="A341" s="149" t="s">
        <v>59</v>
      </c>
      <c r="B341" s="149" t="s">
        <v>804</v>
      </c>
      <c r="C341" s="151" t="s">
        <v>805</v>
      </c>
      <c r="D341" s="151" t="s">
        <v>62</v>
      </c>
      <c r="E341" s="151">
        <v>35</v>
      </c>
      <c r="F341" s="149" t="s">
        <v>952</v>
      </c>
      <c r="G341" s="147" t="s">
        <v>807</v>
      </c>
      <c r="H341" s="147" t="s">
        <v>808</v>
      </c>
      <c r="I341" s="147" t="s">
        <v>296</v>
      </c>
      <c r="J341" s="164">
        <v>80111620</v>
      </c>
      <c r="K341" s="147" t="s">
        <v>809</v>
      </c>
      <c r="L341" s="147" t="s">
        <v>83</v>
      </c>
      <c r="M341" s="147" t="s">
        <v>953</v>
      </c>
      <c r="N341" s="149" t="s">
        <v>142</v>
      </c>
      <c r="O341" s="149" t="s">
        <v>142</v>
      </c>
      <c r="P341" s="149" t="s">
        <v>71</v>
      </c>
      <c r="Q341" s="147">
        <v>5</v>
      </c>
      <c r="R341" s="147" t="s">
        <v>72</v>
      </c>
      <c r="S341" s="147" t="s">
        <v>73</v>
      </c>
      <c r="T341" s="147" t="s">
        <v>74</v>
      </c>
      <c r="U341" s="195">
        <v>4907250</v>
      </c>
      <c r="V341" s="175">
        <v>4907250</v>
      </c>
      <c r="W341" s="147" t="s">
        <v>75</v>
      </c>
      <c r="X341" s="147" t="s">
        <v>67</v>
      </c>
      <c r="Y341" s="147" t="s">
        <v>811</v>
      </c>
      <c r="Z341" s="147" t="s">
        <v>812</v>
      </c>
      <c r="AA341" s="147">
        <v>6012220601</v>
      </c>
      <c r="AB341" s="160" t="s">
        <v>813</v>
      </c>
      <c r="AC341" s="14"/>
      <c r="AD341" s="14"/>
      <c r="AE341" s="14"/>
      <c r="AF341" s="14"/>
      <c r="AG341" s="14"/>
      <c r="AH341" s="14"/>
      <c r="AI341" s="14"/>
      <c r="AJ341" s="14"/>
      <c r="AK341" s="14"/>
      <c r="AL341" s="14"/>
      <c r="AM341" s="14"/>
      <c r="AN341" s="14"/>
      <c r="AO341" s="14"/>
      <c r="AP341" s="14"/>
      <c r="AQ341" s="14"/>
      <c r="AR341" s="14"/>
      <c r="AS341" s="14">
        <v>1183740</v>
      </c>
      <c r="AT341" s="14"/>
      <c r="AU341" s="25"/>
      <c r="AV341" s="25"/>
      <c r="AW341" s="25"/>
      <c r="AX341" s="25"/>
      <c r="AY341" s="25"/>
      <c r="AZ341" s="25">
        <v>1183740</v>
      </c>
      <c r="BA341" s="17">
        <v>3723510</v>
      </c>
      <c r="BB341" s="17">
        <v>3723510</v>
      </c>
      <c r="BC341" s="18">
        <f t="shared" si="251"/>
        <v>4907250</v>
      </c>
      <c r="BD341" s="18">
        <f t="shared" si="252"/>
        <v>4907250</v>
      </c>
      <c r="BE341" s="19">
        <f t="shared" si="253"/>
        <v>0</v>
      </c>
      <c r="BF341" s="20">
        <f t="shared" si="254"/>
        <v>0</v>
      </c>
      <c r="BG341" s="20">
        <f t="shared" si="255"/>
        <v>0</v>
      </c>
    </row>
    <row r="342" spans="1:59" ht="14.25" customHeight="1">
      <c r="A342" s="149" t="s">
        <v>59</v>
      </c>
      <c r="B342" s="149" t="s">
        <v>804</v>
      </c>
      <c r="C342" s="151" t="s">
        <v>805</v>
      </c>
      <c r="D342" s="151" t="s">
        <v>62</v>
      </c>
      <c r="E342" s="151">
        <v>40</v>
      </c>
      <c r="F342" s="149" t="s">
        <v>954</v>
      </c>
      <c r="G342" s="147" t="s">
        <v>841</v>
      </c>
      <c r="H342" s="147" t="s">
        <v>869</v>
      </c>
      <c r="I342" s="147" t="s">
        <v>827</v>
      </c>
      <c r="J342" s="164">
        <v>80111620</v>
      </c>
      <c r="K342" s="147" t="s">
        <v>870</v>
      </c>
      <c r="L342" s="147" t="s">
        <v>83</v>
      </c>
      <c r="M342" s="147" t="s">
        <v>955</v>
      </c>
      <c r="N342" s="149" t="s">
        <v>71</v>
      </c>
      <c r="O342" s="149" t="s">
        <v>71</v>
      </c>
      <c r="P342" s="149" t="s">
        <v>71</v>
      </c>
      <c r="Q342" s="147">
        <v>3.7</v>
      </c>
      <c r="R342" s="147" t="s">
        <v>72</v>
      </c>
      <c r="S342" s="147" t="s">
        <v>73</v>
      </c>
      <c r="T342" s="147" t="s">
        <v>74</v>
      </c>
      <c r="U342" s="195">
        <v>26600000</v>
      </c>
      <c r="V342" s="195">
        <v>26600000</v>
      </c>
      <c r="W342" s="147" t="s">
        <v>75</v>
      </c>
      <c r="X342" s="147" t="s">
        <v>67</v>
      </c>
      <c r="Y342" s="147" t="s">
        <v>811</v>
      </c>
      <c r="Z342" s="147" t="s">
        <v>812</v>
      </c>
      <c r="AA342" s="147">
        <v>6012220601</v>
      </c>
      <c r="AB342" s="160" t="s">
        <v>813</v>
      </c>
      <c r="AC342" s="14"/>
      <c r="AD342" s="14"/>
      <c r="AE342" s="14"/>
      <c r="AF342" s="14"/>
      <c r="AG342" s="14"/>
      <c r="AH342" s="14"/>
      <c r="AI342" s="14"/>
      <c r="AJ342" s="14"/>
      <c r="AK342" s="14"/>
      <c r="AL342" s="14"/>
      <c r="AM342" s="14"/>
      <c r="AN342" s="14"/>
      <c r="AO342" s="14"/>
      <c r="AP342" s="14"/>
      <c r="AQ342" s="14"/>
      <c r="AR342" s="14"/>
      <c r="AS342" s="14">
        <v>23616667</v>
      </c>
      <c r="AT342" s="14"/>
      <c r="AU342" s="25"/>
      <c r="AV342" s="25">
        <v>6650000</v>
      </c>
      <c r="AW342" s="25"/>
      <c r="AX342" s="25">
        <v>6650000</v>
      </c>
      <c r="AY342" s="25"/>
      <c r="AZ342" s="25">
        <v>13300000</v>
      </c>
      <c r="BA342" s="33">
        <v>2983333</v>
      </c>
      <c r="BB342" s="17"/>
      <c r="BC342" s="18">
        <f t="shared" si="251"/>
        <v>26600000</v>
      </c>
      <c r="BD342" s="18">
        <f t="shared" si="252"/>
        <v>26600000</v>
      </c>
      <c r="BE342" s="19">
        <f t="shared" si="253"/>
        <v>0</v>
      </c>
      <c r="BF342" s="20">
        <f t="shared" si="254"/>
        <v>0</v>
      </c>
      <c r="BG342" s="20">
        <f t="shared" si="255"/>
        <v>0</v>
      </c>
    </row>
    <row r="343" spans="1:59" ht="14.25" customHeight="1">
      <c r="A343" s="149" t="s">
        <v>59</v>
      </c>
      <c r="B343" s="149" t="s">
        <v>804</v>
      </c>
      <c r="C343" s="151" t="s">
        <v>805</v>
      </c>
      <c r="D343" s="151" t="s">
        <v>62</v>
      </c>
      <c r="E343" s="151">
        <v>44</v>
      </c>
      <c r="F343" s="149" t="s">
        <v>956</v>
      </c>
      <c r="G343" s="147" t="s">
        <v>841</v>
      </c>
      <c r="H343" s="147" t="s">
        <v>869</v>
      </c>
      <c r="I343" s="147" t="s">
        <v>823</v>
      </c>
      <c r="J343" s="164">
        <v>80111620</v>
      </c>
      <c r="K343" s="147" t="s">
        <v>870</v>
      </c>
      <c r="L343" s="147" t="s">
        <v>83</v>
      </c>
      <c r="M343" s="147" t="s">
        <v>957</v>
      </c>
      <c r="N343" s="149" t="s">
        <v>71</v>
      </c>
      <c r="O343" s="149" t="s">
        <v>71</v>
      </c>
      <c r="P343" s="149" t="s">
        <v>180</v>
      </c>
      <c r="Q343" s="147">
        <v>3</v>
      </c>
      <c r="R343" s="147" t="s">
        <v>72</v>
      </c>
      <c r="S343" s="147" t="s">
        <v>73</v>
      </c>
      <c r="T343" s="147" t="s">
        <v>74</v>
      </c>
      <c r="U343" s="195">
        <v>7020000</v>
      </c>
      <c r="V343" s="195">
        <v>7020000</v>
      </c>
      <c r="W343" s="147" t="s">
        <v>75</v>
      </c>
      <c r="X343" s="147" t="s">
        <v>67</v>
      </c>
      <c r="Y343" s="147" t="s">
        <v>811</v>
      </c>
      <c r="Z343" s="147" t="s">
        <v>812</v>
      </c>
      <c r="AA343" s="147">
        <v>6012220601</v>
      </c>
      <c r="AB343" s="160" t="s">
        <v>813</v>
      </c>
      <c r="AC343" s="14"/>
      <c r="AD343" s="14"/>
      <c r="AE343" s="14"/>
      <c r="AF343" s="14"/>
      <c r="AG343" s="14"/>
      <c r="AH343" s="14"/>
      <c r="AI343" s="14"/>
      <c r="AJ343" s="14"/>
      <c r="AK343" s="14"/>
      <c r="AL343" s="14"/>
      <c r="AM343" s="14"/>
      <c r="AN343" s="14"/>
      <c r="AO343" s="14"/>
      <c r="AP343" s="14"/>
      <c r="AQ343" s="14"/>
      <c r="AR343" s="14"/>
      <c r="AS343" s="14"/>
      <c r="AT343" s="14"/>
      <c r="AU343" s="25">
        <v>7020000</v>
      </c>
      <c r="AV343" s="25"/>
      <c r="AW343" s="25"/>
      <c r="AX343" s="25">
        <v>2340000</v>
      </c>
      <c r="AY343" s="25"/>
      <c r="AZ343" s="25">
        <v>4680000</v>
      </c>
      <c r="BA343" s="17"/>
      <c r="BB343" s="17"/>
      <c r="BC343" s="18">
        <f t="shared" si="251"/>
        <v>7020000</v>
      </c>
      <c r="BD343" s="18">
        <f t="shared" si="252"/>
        <v>7020000</v>
      </c>
      <c r="BE343" s="19">
        <f t="shared" si="253"/>
        <v>0</v>
      </c>
      <c r="BF343" s="20">
        <f t="shared" si="254"/>
        <v>0</v>
      </c>
      <c r="BG343" s="20">
        <f t="shared" si="255"/>
        <v>0</v>
      </c>
    </row>
    <row r="344" spans="1:59" ht="14.25" customHeight="1">
      <c r="A344" s="147" t="s">
        <v>59</v>
      </c>
      <c r="B344" s="147" t="s">
        <v>958</v>
      </c>
      <c r="C344" s="151" t="s">
        <v>959</v>
      </c>
      <c r="D344" s="151" t="s">
        <v>62</v>
      </c>
      <c r="E344" s="151">
        <v>47</v>
      </c>
      <c r="F344" s="149" t="s">
        <v>960</v>
      </c>
      <c r="G344" s="147" t="s">
        <v>961</v>
      </c>
      <c r="H344" s="147" t="s">
        <v>962</v>
      </c>
      <c r="I344" s="147" t="s">
        <v>737</v>
      </c>
      <c r="J344" s="164">
        <v>93151509</v>
      </c>
      <c r="K344" s="147" t="s">
        <v>963</v>
      </c>
      <c r="L344" s="147" t="s">
        <v>495</v>
      </c>
      <c r="M344" s="147" t="s">
        <v>964</v>
      </c>
      <c r="N344" s="147" t="s">
        <v>71</v>
      </c>
      <c r="O344" s="147" t="s">
        <v>71</v>
      </c>
      <c r="P344" s="149" t="s">
        <v>226</v>
      </c>
      <c r="Q344" s="147">
        <v>12</v>
      </c>
      <c r="R344" s="148" t="s">
        <v>72</v>
      </c>
      <c r="S344" s="148" t="s">
        <v>129</v>
      </c>
      <c r="T344" s="147" t="s">
        <v>74</v>
      </c>
      <c r="U344" s="189">
        <v>241744916</v>
      </c>
      <c r="V344" s="148">
        <v>241744916</v>
      </c>
      <c r="W344" s="147" t="s">
        <v>75</v>
      </c>
      <c r="X344" s="147" t="s">
        <v>67</v>
      </c>
      <c r="Y344" s="147" t="s">
        <v>965</v>
      </c>
      <c r="Z344" s="147" t="s">
        <v>966</v>
      </c>
      <c r="AA344" s="147">
        <v>6012220601</v>
      </c>
      <c r="AB344" s="160" t="s">
        <v>967</v>
      </c>
      <c r="AC344" s="14"/>
      <c r="AD344" s="14"/>
      <c r="AE344" s="14"/>
      <c r="AF344" s="14"/>
      <c r="AG344" s="14"/>
      <c r="AH344" s="14"/>
      <c r="AI344" s="14"/>
      <c r="AJ344" s="14"/>
      <c r="AK344" s="14"/>
      <c r="AL344" s="14"/>
      <c r="AM344" s="14"/>
      <c r="AN344" s="14"/>
      <c r="AO344" s="14"/>
      <c r="AP344" s="14"/>
      <c r="AQ344" s="14"/>
      <c r="AR344" s="14"/>
      <c r="AS344" s="14"/>
      <c r="AT344" s="14"/>
      <c r="AU344" s="15"/>
      <c r="AV344" s="15"/>
      <c r="AW344" s="15">
        <v>241744916</v>
      </c>
      <c r="AX344" s="15"/>
      <c r="AY344" s="15"/>
      <c r="AZ344" s="15">
        <v>241744916</v>
      </c>
      <c r="BA344" s="17"/>
      <c r="BB344" s="17"/>
      <c r="BC344" s="18">
        <f t="shared" si="251"/>
        <v>241744916</v>
      </c>
      <c r="BD344" s="18">
        <f t="shared" si="252"/>
        <v>241744916</v>
      </c>
      <c r="BE344" s="19">
        <f t="shared" si="253"/>
        <v>0</v>
      </c>
      <c r="BF344" s="20">
        <f t="shared" si="254"/>
        <v>0</v>
      </c>
      <c r="BG344" s="20">
        <f t="shared" si="255"/>
        <v>0</v>
      </c>
    </row>
    <row r="345" spans="1:59" ht="14.25" customHeight="1">
      <c r="A345" s="147" t="s">
        <v>59</v>
      </c>
      <c r="B345" s="147" t="s">
        <v>958</v>
      </c>
      <c r="C345" s="151" t="s">
        <v>959</v>
      </c>
      <c r="D345" s="151" t="s">
        <v>62</v>
      </c>
      <c r="E345" s="151" t="s">
        <v>114</v>
      </c>
      <c r="F345" s="149" t="s">
        <v>968</v>
      </c>
      <c r="G345" s="147" t="s">
        <v>961</v>
      </c>
      <c r="H345" s="147" t="s">
        <v>962</v>
      </c>
      <c r="I345" s="147" t="s">
        <v>737</v>
      </c>
      <c r="J345" s="164">
        <v>93151509</v>
      </c>
      <c r="K345" s="147" t="s">
        <v>963</v>
      </c>
      <c r="L345" s="147" t="s">
        <v>495</v>
      </c>
      <c r="M345" s="147" t="s">
        <v>969</v>
      </c>
      <c r="N345" s="147" t="s">
        <v>71</v>
      </c>
      <c r="O345" s="147" t="s">
        <v>71</v>
      </c>
      <c r="P345" s="149" t="s">
        <v>226</v>
      </c>
      <c r="Q345" s="147">
        <v>12</v>
      </c>
      <c r="R345" s="148" t="s">
        <v>72</v>
      </c>
      <c r="S345" s="148" t="s">
        <v>129</v>
      </c>
      <c r="T345" s="147" t="s">
        <v>74</v>
      </c>
      <c r="U345" s="189">
        <v>500000000</v>
      </c>
      <c r="V345" s="148">
        <v>500000000</v>
      </c>
      <c r="W345" s="147" t="s">
        <v>75</v>
      </c>
      <c r="X345" s="147" t="s">
        <v>67</v>
      </c>
      <c r="Y345" s="147" t="s">
        <v>965</v>
      </c>
      <c r="Z345" s="147" t="s">
        <v>966</v>
      </c>
      <c r="AA345" s="147">
        <v>6012220601</v>
      </c>
      <c r="AB345" s="160" t="s">
        <v>967</v>
      </c>
      <c r="AC345" s="14"/>
      <c r="AD345" s="14"/>
      <c r="AE345" s="14"/>
      <c r="AF345" s="14"/>
      <c r="AG345" s="14"/>
      <c r="AH345" s="14"/>
      <c r="AI345" s="14"/>
      <c r="AJ345" s="14"/>
      <c r="AK345" s="14"/>
      <c r="AL345" s="14"/>
      <c r="AM345" s="14"/>
      <c r="AN345" s="14"/>
      <c r="AO345" s="14"/>
      <c r="AP345" s="14"/>
      <c r="AQ345" s="14"/>
      <c r="AR345" s="14"/>
      <c r="AS345" s="14"/>
      <c r="AT345" s="14"/>
      <c r="AU345" s="25"/>
      <c r="AV345" s="25"/>
      <c r="AW345" s="25">
        <v>500000000</v>
      </c>
      <c r="AX345" s="25"/>
      <c r="AY345" s="21"/>
      <c r="AZ345" s="25">
        <v>500000000</v>
      </c>
      <c r="BA345" s="17"/>
      <c r="BB345" s="17"/>
      <c r="BC345" s="18">
        <f t="shared" si="251"/>
        <v>500000000</v>
      </c>
      <c r="BD345" s="18">
        <f t="shared" si="252"/>
        <v>500000000</v>
      </c>
      <c r="BE345" s="19">
        <f t="shared" si="253"/>
        <v>0</v>
      </c>
      <c r="BF345" s="20">
        <f t="shared" si="254"/>
        <v>0</v>
      </c>
      <c r="BG345" s="20">
        <f t="shared" si="255"/>
        <v>0</v>
      </c>
    </row>
    <row r="346" spans="1:59" ht="14.25" customHeight="1">
      <c r="A346" s="147" t="s">
        <v>59</v>
      </c>
      <c r="B346" s="147" t="s">
        <v>958</v>
      </c>
      <c r="C346" s="151" t="s">
        <v>959</v>
      </c>
      <c r="D346" s="151" t="s">
        <v>62</v>
      </c>
      <c r="E346" s="151">
        <v>39</v>
      </c>
      <c r="F346" s="149" t="s">
        <v>970</v>
      </c>
      <c r="G346" s="147" t="s">
        <v>961</v>
      </c>
      <c r="H346" s="147" t="s">
        <v>962</v>
      </c>
      <c r="I346" s="147" t="s">
        <v>737</v>
      </c>
      <c r="J346" s="164">
        <v>93151509</v>
      </c>
      <c r="K346" s="147" t="s">
        <v>963</v>
      </c>
      <c r="L346" s="147" t="s">
        <v>495</v>
      </c>
      <c r="M346" s="147" t="s">
        <v>971</v>
      </c>
      <c r="N346" s="149" t="s">
        <v>71</v>
      </c>
      <c r="O346" s="149" t="s">
        <v>71</v>
      </c>
      <c r="P346" s="149" t="s">
        <v>180</v>
      </c>
      <c r="Q346" s="147">
        <v>12</v>
      </c>
      <c r="R346" s="148" t="s">
        <v>72</v>
      </c>
      <c r="S346" s="148" t="s">
        <v>129</v>
      </c>
      <c r="T346" s="147" t="s">
        <v>74</v>
      </c>
      <c r="U346" s="189">
        <v>269448992</v>
      </c>
      <c r="V346" s="148">
        <v>269448992</v>
      </c>
      <c r="W346" s="147" t="s">
        <v>75</v>
      </c>
      <c r="X346" s="147" t="s">
        <v>67</v>
      </c>
      <c r="Y346" s="147" t="s">
        <v>965</v>
      </c>
      <c r="Z346" s="148" t="s">
        <v>966</v>
      </c>
      <c r="AA346" s="147">
        <v>6012220601</v>
      </c>
      <c r="AB346" s="160" t="s">
        <v>967</v>
      </c>
      <c r="AC346" s="14"/>
      <c r="AD346" s="14"/>
      <c r="AE346" s="14"/>
      <c r="AF346" s="14"/>
      <c r="AG346" s="14"/>
      <c r="AH346" s="14"/>
      <c r="AI346" s="14"/>
      <c r="AJ346" s="14"/>
      <c r="AK346" s="14"/>
      <c r="AL346" s="14"/>
      <c r="AM346" s="14"/>
      <c r="AN346" s="14"/>
      <c r="AO346" s="14"/>
      <c r="AP346" s="14"/>
      <c r="AQ346" s="14"/>
      <c r="AR346" s="14"/>
      <c r="AS346" s="14"/>
      <c r="AT346" s="14"/>
      <c r="AU346" s="25"/>
      <c r="AV346" s="25"/>
      <c r="AW346" s="25">
        <v>269448992</v>
      </c>
      <c r="AX346" s="25"/>
      <c r="AY346" s="25"/>
      <c r="AZ346" s="25">
        <v>269448992</v>
      </c>
      <c r="BA346" s="17"/>
      <c r="BB346" s="17"/>
      <c r="BC346" s="18">
        <f t="shared" si="251"/>
        <v>269448992</v>
      </c>
      <c r="BD346" s="18">
        <f t="shared" si="252"/>
        <v>269448992</v>
      </c>
      <c r="BE346" s="19">
        <f t="shared" si="253"/>
        <v>0</v>
      </c>
      <c r="BF346" s="20">
        <f t="shared" si="254"/>
        <v>0</v>
      </c>
      <c r="BG346" s="20">
        <f t="shared" si="255"/>
        <v>0</v>
      </c>
    </row>
    <row r="347" spans="1:59" ht="14.25" customHeight="1">
      <c r="A347" s="147" t="s">
        <v>59</v>
      </c>
      <c r="B347" s="147" t="s">
        <v>958</v>
      </c>
      <c r="C347" s="151" t="s">
        <v>959</v>
      </c>
      <c r="D347" s="151" t="s">
        <v>62</v>
      </c>
      <c r="E347" s="151">
        <v>27</v>
      </c>
      <c r="F347" s="149" t="s">
        <v>972</v>
      </c>
      <c r="G347" s="147" t="s">
        <v>961</v>
      </c>
      <c r="H347" s="147" t="s">
        <v>962</v>
      </c>
      <c r="I347" s="147" t="s">
        <v>737</v>
      </c>
      <c r="J347" s="164">
        <v>80111620</v>
      </c>
      <c r="K347" s="147" t="s">
        <v>963</v>
      </c>
      <c r="L347" s="147" t="s">
        <v>83</v>
      </c>
      <c r="M347" s="147" t="s">
        <v>973</v>
      </c>
      <c r="N347" s="147" t="s">
        <v>91</v>
      </c>
      <c r="O347" s="147" t="s">
        <v>91</v>
      </c>
      <c r="P347" s="147" t="s">
        <v>91</v>
      </c>
      <c r="Q347" s="147">
        <v>11.7</v>
      </c>
      <c r="R347" s="148" t="s">
        <v>72</v>
      </c>
      <c r="S347" s="148" t="s">
        <v>73</v>
      </c>
      <c r="T347" s="148" t="s">
        <v>74</v>
      </c>
      <c r="U347" s="189">
        <v>112894320</v>
      </c>
      <c r="V347" s="148">
        <v>112894320</v>
      </c>
      <c r="W347" s="148" t="s">
        <v>75</v>
      </c>
      <c r="X347" s="147" t="s">
        <v>67</v>
      </c>
      <c r="Y347" s="148" t="s">
        <v>965</v>
      </c>
      <c r="Z347" s="148" t="s">
        <v>966</v>
      </c>
      <c r="AA347" s="147">
        <v>6012220601</v>
      </c>
      <c r="AB347" s="196" t="s">
        <v>967</v>
      </c>
      <c r="AC347" s="14">
        <v>105270165</v>
      </c>
      <c r="AD347" s="14"/>
      <c r="AE347" s="14">
        <v>-899745</v>
      </c>
      <c r="AF347" s="14">
        <v>5398470</v>
      </c>
      <c r="AG347" s="14"/>
      <c r="AH347" s="14">
        <v>8997450</v>
      </c>
      <c r="AI347" s="14"/>
      <c r="AJ347" s="14">
        <v>8997450</v>
      </c>
      <c r="AK347" s="14"/>
      <c r="AL347" s="14">
        <v>8997450</v>
      </c>
      <c r="AM347" s="14">
        <v>8523900</v>
      </c>
      <c r="AN347" s="14">
        <v>8997450</v>
      </c>
      <c r="AO347" s="14"/>
      <c r="AP347" s="14">
        <v>8997450</v>
      </c>
      <c r="AQ347" s="14"/>
      <c r="AR347" s="14">
        <v>10418100</v>
      </c>
      <c r="AS347" s="14"/>
      <c r="AT347" s="14">
        <v>10418100</v>
      </c>
      <c r="AU347" s="25"/>
      <c r="AV347" s="25">
        <v>10418100</v>
      </c>
      <c r="AW347" s="25"/>
      <c r="AX347" s="25">
        <v>10418100</v>
      </c>
      <c r="AY347" s="25"/>
      <c r="AZ347" s="25">
        <v>20836200</v>
      </c>
      <c r="BA347" s="17"/>
      <c r="BB347" s="17"/>
      <c r="BC347" s="18">
        <f t="shared" si="251"/>
        <v>112894320</v>
      </c>
      <c r="BD347" s="18">
        <f t="shared" si="252"/>
        <v>112894320</v>
      </c>
      <c r="BE347" s="19">
        <f t="shared" si="253"/>
        <v>0</v>
      </c>
      <c r="BF347" s="20">
        <f t="shared" si="254"/>
        <v>0</v>
      </c>
      <c r="BG347" s="20">
        <f t="shared" si="255"/>
        <v>0</v>
      </c>
    </row>
    <row r="348" spans="1:59" ht="14.25" customHeight="1">
      <c r="A348" s="147" t="s">
        <v>59</v>
      </c>
      <c r="B348" s="147" t="s">
        <v>958</v>
      </c>
      <c r="C348" s="151" t="s">
        <v>959</v>
      </c>
      <c r="D348" s="151" t="s">
        <v>62</v>
      </c>
      <c r="E348" s="151" t="s">
        <v>114</v>
      </c>
      <c r="F348" s="149" t="s">
        <v>974</v>
      </c>
      <c r="G348" s="147" t="s">
        <v>961</v>
      </c>
      <c r="H348" s="147" t="s">
        <v>962</v>
      </c>
      <c r="I348" s="147" t="s">
        <v>737</v>
      </c>
      <c r="J348" s="164">
        <v>80111620</v>
      </c>
      <c r="K348" s="147" t="s">
        <v>963</v>
      </c>
      <c r="L348" s="147" t="s">
        <v>83</v>
      </c>
      <c r="M348" s="147" t="s">
        <v>975</v>
      </c>
      <c r="N348" s="147" t="s">
        <v>91</v>
      </c>
      <c r="O348" s="147" t="s">
        <v>91</v>
      </c>
      <c r="P348" s="147" t="s">
        <v>91</v>
      </c>
      <c r="Q348" s="147">
        <v>11</v>
      </c>
      <c r="R348" s="148" t="s">
        <v>72</v>
      </c>
      <c r="S348" s="148" t="s">
        <v>73</v>
      </c>
      <c r="T348" s="147" t="s">
        <v>74</v>
      </c>
      <c r="U348" s="189">
        <v>115999100</v>
      </c>
      <c r="V348" s="148">
        <v>115999100</v>
      </c>
      <c r="W348" s="147" t="s">
        <v>75</v>
      </c>
      <c r="X348" s="147" t="s">
        <v>67</v>
      </c>
      <c r="Y348" s="148" t="s">
        <v>965</v>
      </c>
      <c r="Z348" s="147" t="s">
        <v>966</v>
      </c>
      <c r="AA348" s="147">
        <v>6012220601</v>
      </c>
      <c r="AB348" s="196" t="s">
        <v>967</v>
      </c>
      <c r="AC348" s="14">
        <v>115999100</v>
      </c>
      <c r="AD348" s="14"/>
      <c r="AE348" s="14"/>
      <c r="AF348" s="14"/>
      <c r="AG348" s="14"/>
      <c r="AH348" s="14">
        <v>10418100</v>
      </c>
      <c r="AI348" s="14"/>
      <c r="AJ348" s="14">
        <v>10418100</v>
      </c>
      <c r="AK348" s="14"/>
      <c r="AL348" s="14">
        <v>10418100</v>
      </c>
      <c r="AM348" s="14"/>
      <c r="AN348" s="14">
        <f>10418100 +354667</f>
        <v>10772767</v>
      </c>
      <c r="AO348" s="14"/>
      <c r="AP348" s="14">
        <v>10418100</v>
      </c>
      <c r="AQ348" s="14"/>
      <c r="AR348" s="14">
        <v>10418100</v>
      </c>
      <c r="AS348" s="14"/>
      <c r="AT348" s="14">
        <v>10418100</v>
      </c>
      <c r="AU348" s="25"/>
      <c r="AV348" s="28">
        <f>10418100+310679</f>
        <v>10728779</v>
      </c>
      <c r="AW348" s="25"/>
      <c r="AX348" s="28">
        <v>10418100</v>
      </c>
      <c r="AY348" s="25"/>
      <c r="AZ348" s="28">
        <v>20836200</v>
      </c>
      <c r="BA348" s="17"/>
      <c r="BB348" s="33">
        <v>734654</v>
      </c>
      <c r="BC348" s="18">
        <f t="shared" si="251"/>
        <v>115999100</v>
      </c>
      <c r="BD348" s="18">
        <f t="shared" si="252"/>
        <v>115999100</v>
      </c>
      <c r="BE348" s="19">
        <f t="shared" si="253"/>
        <v>0</v>
      </c>
      <c r="BF348" s="20">
        <f t="shared" si="254"/>
        <v>0</v>
      </c>
      <c r="BG348" s="20">
        <f t="shared" si="255"/>
        <v>0</v>
      </c>
    </row>
    <row r="349" spans="1:59" ht="14.25" customHeight="1">
      <c r="A349" s="147" t="s">
        <v>59</v>
      </c>
      <c r="B349" s="147" t="s">
        <v>958</v>
      </c>
      <c r="C349" s="151" t="s">
        <v>959</v>
      </c>
      <c r="D349" s="151" t="s">
        <v>62</v>
      </c>
      <c r="E349" s="151">
        <v>26</v>
      </c>
      <c r="F349" s="149" t="s">
        <v>976</v>
      </c>
      <c r="G349" s="147" t="s">
        <v>961</v>
      </c>
      <c r="H349" s="147" t="s">
        <v>962</v>
      </c>
      <c r="I349" s="147" t="s">
        <v>737</v>
      </c>
      <c r="J349" s="164">
        <v>80111620</v>
      </c>
      <c r="K349" s="147" t="s">
        <v>963</v>
      </c>
      <c r="L349" s="147" t="s">
        <v>83</v>
      </c>
      <c r="M349" s="147" t="s">
        <v>977</v>
      </c>
      <c r="N349" s="147" t="s">
        <v>91</v>
      </c>
      <c r="O349" s="147" t="s">
        <v>91</v>
      </c>
      <c r="P349" s="147" t="s">
        <v>91</v>
      </c>
      <c r="Q349" s="147">
        <v>11</v>
      </c>
      <c r="R349" s="148" t="s">
        <v>72</v>
      </c>
      <c r="S349" s="148" t="s">
        <v>73</v>
      </c>
      <c r="T349" s="147" t="s">
        <v>74</v>
      </c>
      <c r="U349" s="189">
        <v>100984271</v>
      </c>
      <c r="V349" s="148">
        <v>100984271</v>
      </c>
      <c r="W349" s="147" t="s">
        <v>75</v>
      </c>
      <c r="X349" s="147" t="s">
        <v>67</v>
      </c>
      <c r="Y349" s="148" t="s">
        <v>965</v>
      </c>
      <c r="Z349" s="147" t="s">
        <v>966</v>
      </c>
      <c r="AA349" s="147">
        <v>6012220601</v>
      </c>
      <c r="AB349" s="196" t="s">
        <v>967</v>
      </c>
      <c r="AC349" s="14">
        <v>99571950</v>
      </c>
      <c r="AD349" s="14"/>
      <c r="AE349" s="14"/>
      <c r="AF349" s="14"/>
      <c r="AG349" s="14"/>
      <c r="AH349" s="14">
        <v>8997450</v>
      </c>
      <c r="AI349" s="14"/>
      <c r="AJ349" s="14">
        <v>8997450</v>
      </c>
      <c r="AK349" s="14"/>
      <c r="AL349" s="14">
        <f>8997450+ 542037</f>
        <v>9539487</v>
      </c>
      <c r="AM349" s="14"/>
      <c r="AN349" s="14">
        <v>8997450</v>
      </c>
      <c r="AO349" s="14">
        <v>1412321</v>
      </c>
      <c r="AP349" s="14">
        <v>8997450</v>
      </c>
      <c r="AQ349" s="14"/>
      <c r="AR349" s="14">
        <f>8997450+ 1470284</f>
        <v>10467734</v>
      </c>
      <c r="AS349" s="14"/>
      <c r="AT349" s="14">
        <v>8997450</v>
      </c>
      <c r="AU349" s="25"/>
      <c r="AV349" s="25">
        <v>8997450</v>
      </c>
      <c r="AW349" s="25"/>
      <c r="AX349" s="25">
        <v>8997450</v>
      </c>
      <c r="AY349" s="25"/>
      <c r="AZ349" s="25">
        <v>17994900</v>
      </c>
      <c r="BA349" s="17"/>
      <c r="BB349" s="17"/>
      <c r="BC349" s="18">
        <f t="shared" si="251"/>
        <v>100984271</v>
      </c>
      <c r="BD349" s="18">
        <f t="shared" si="252"/>
        <v>100984271</v>
      </c>
      <c r="BE349" s="19">
        <f t="shared" si="253"/>
        <v>0</v>
      </c>
      <c r="BF349" s="20">
        <f t="shared" si="254"/>
        <v>0</v>
      </c>
      <c r="BG349" s="20">
        <f t="shared" si="255"/>
        <v>0</v>
      </c>
    </row>
    <row r="350" spans="1:59" ht="14.25" customHeight="1">
      <c r="A350" s="147" t="s">
        <v>59</v>
      </c>
      <c r="B350" s="147" t="s">
        <v>958</v>
      </c>
      <c r="C350" s="151" t="s">
        <v>959</v>
      </c>
      <c r="D350" s="151" t="s">
        <v>62</v>
      </c>
      <c r="E350" s="151">
        <v>46</v>
      </c>
      <c r="F350" s="149" t="s">
        <v>978</v>
      </c>
      <c r="G350" s="147" t="s">
        <v>961</v>
      </c>
      <c r="H350" s="147" t="s">
        <v>962</v>
      </c>
      <c r="I350" s="147" t="s">
        <v>737</v>
      </c>
      <c r="J350" s="164">
        <v>80111620</v>
      </c>
      <c r="K350" s="147" t="s">
        <v>963</v>
      </c>
      <c r="L350" s="147" t="s">
        <v>83</v>
      </c>
      <c r="M350" s="147" t="s">
        <v>979</v>
      </c>
      <c r="N350" s="147" t="s">
        <v>91</v>
      </c>
      <c r="O350" s="147" t="s">
        <v>91</v>
      </c>
      <c r="P350" s="147" t="s">
        <v>91</v>
      </c>
      <c r="Q350" s="147">
        <v>11</v>
      </c>
      <c r="R350" s="148" t="s">
        <v>72</v>
      </c>
      <c r="S350" s="148" t="s">
        <v>73</v>
      </c>
      <c r="T350" s="147" t="s">
        <v>74</v>
      </c>
      <c r="U350" s="197">
        <v>115683174</v>
      </c>
      <c r="V350" s="167">
        <v>115683174</v>
      </c>
      <c r="W350" s="147" t="s">
        <v>75</v>
      </c>
      <c r="X350" s="147" t="s">
        <v>67</v>
      </c>
      <c r="Y350" s="148" t="s">
        <v>965</v>
      </c>
      <c r="Z350" s="147" t="s">
        <v>966</v>
      </c>
      <c r="AA350" s="147">
        <v>6012220601</v>
      </c>
      <c r="AB350" s="196" t="s">
        <v>967</v>
      </c>
      <c r="AC350" s="14">
        <v>115599100</v>
      </c>
      <c r="AD350" s="14"/>
      <c r="AE350" s="14"/>
      <c r="AF350" s="14"/>
      <c r="AG350" s="14"/>
      <c r="AH350" s="14">
        <v>10418100</v>
      </c>
      <c r="AI350" s="14"/>
      <c r="AJ350" s="14">
        <v>10418100</v>
      </c>
      <c r="AK350" s="14"/>
      <c r="AL350" s="14">
        <v>10960137</v>
      </c>
      <c r="AM350" s="14"/>
      <c r="AN350" s="14">
        <v>10418100</v>
      </c>
      <c r="AO350" s="14"/>
      <c r="AP350" s="14">
        <v>10418100</v>
      </c>
      <c r="AQ350" s="14"/>
      <c r="AR350" s="14">
        <v>10418100</v>
      </c>
      <c r="AS350" s="14"/>
      <c r="AT350" s="14">
        <v>10418100</v>
      </c>
      <c r="AU350" s="25">
        <v>84074</v>
      </c>
      <c r="AV350" s="25">
        <v>10418100</v>
      </c>
      <c r="AW350" s="25"/>
      <c r="AX350" s="25">
        <v>10960137</v>
      </c>
      <c r="AY350" s="25"/>
      <c r="AZ350" s="28">
        <v>20836200</v>
      </c>
      <c r="BA350" s="17"/>
      <c r="BB350" s="17"/>
      <c r="BC350" s="18">
        <f t="shared" si="251"/>
        <v>115683174</v>
      </c>
      <c r="BD350" s="18">
        <f t="shared" si="252"/>
        <v>115683174</v>
      </c>
      <c r="BE350" s="19">
        <f t="shared" si="253"/>
        <v>0</v>
      </c>
      <c r="BF350" s="20">
        <f t="shared" si="254"/>
        <v>0</v>
      </c>
      <c r="BG350" s="20">
        <f t="shared" si="255"/>
        <v>0</v>
      </c>
    </row>
    <row r="351" spans="1:59" ht="14.25" customHeight="1">
      <c r="A351" s="147" t="s">
        <v>59</v>
      </c>
      <c r="B351" s="147" t="s">
        <v>958</v>
      </c>
      <c r="C351" s="151" t="s">
        <v>959</v>
      </c>
      <c r="D351" s="151" t="s">
        <v>62</v>
      </c>
      <c r="E351" s="151">
        <v>26</v>
      </c>
      <c r="F351" s="149" t="s">
        <v>980</v>
      </c>
      <c r="G351" s="147" t="s">
        <v>961</v>
      </c>
      <c r="H351" s="147" t="s">
        <v>962</v>
      </c>
      <c r="I351" s="147" t="s">
        <v>737</v>
      </c>
      <c r="J351" s="164">
        <v>80111620</v>
      </c>
      <c r="K351" s="147" t="s">
        <v>963</v>
      </c>
      <c r="L351" s="147" t="s">
        <v>83</v>
      </c>
      <c r="M351" s="147" t="s">
        <v>981</v>
      </c>
      <c r="N351" s="147" t="s">
        <v>91</v>
      </c>
      <c r="O351" s="147" t="s">
        <v>91</v>
      </c>
      <c r="P351" s="147" t="s">
        <v>91</v>
      </c>
      <c r="Q351" s="147">
        <v>11.2</v>
      </c>
      <c r="R351" s="148" t="s">
        <v>72</v>
      </c>
      <c r="S351" s="148" t="s">
        <v>73</v>
      </c>
      <c r="T351" s="148" t="s">
        <v>74</v>
      </c>
      <c r="U351" s="197">
        <v>35437675</v>
      </c>
      <c r="V351" s="148">
        <v>35437675</v>
      </c>
      <c r="W351" s="148" t="s">
        <v>75</v>
      </c>
      <c r="X351" s="147" t="s">
        <v>67</v>
      </c>
      <c r="Y351" s="148" t="s">
        <v>965</v>
      </c>
      <c r="Z351" s="148" t="s">
        <v>966</v>
      </c>
      <c r="AA351" s="147">
        <v>6012220601</v>
      </c>
      <c r="AB351" s="196" t="s">
        <v>967</v>
      </c>
      <c r="AC351" s="14">
        <v>35437675</v>
      </c>
      <c r="AD351" s="14"/>
      <c r="AE351" s="14"/>
      <c r="AF351" s="14"/>
      <c r="AG351" s="14"/>
      <c r="AH351" s="14">
        <v>5746650</v>
      </c>
      <c r="AI351" s="14"/>
      <c r="AJ351" s="14">
        <v>5746650</v>
      </c>
      <c r="AK351" s="14"/>
      <c r="AL351" s="14">
        <v>5746650</v>
      </c>
      <c r="AM351" s="14"/>
      <c r="AN351" s="14">
        <v>5746650</v>
      </c>
      <c r="AO351" s="14"/>
      <c r="AP351" s="14">
        <v>5746650</v>
      </c>
      <c r="AQ351" s="14"/>
      <c r="AR351" s="14">
        <v>5746650</v>
      </c>
      <c r="AS351" s="14"/>
      <c r="AT351" s="14">
        <v>957775</v>
      </c>
      <c r="AU351" s="15"/>
      <c r="AV351" s="15"/>
      <c r="AW351" s="15"/>
      <c r="AX351" s="15"/>
      <c r="AY351" s="15"/>
      <c r="AZ351" s="15"/>
      <c r="BA351" s="17"/>
      <c r="BB351" s="17"/>
      <c r="BC351" s="18">
        <f t="shared" si="251"/>
        <v>35437675</v>
      </c>
      <c r="BD351" s="18">
        <f t="shared" si="252"/>
        <v>35437675</v>
      </c>
      <c r="BE351" s="19">
        <f t="shared" si="253"/>
        <v>0</v>
      </c>
      <c r="BF351" s="20">
        <f t="shared" si="254"/>
        <v>0</v>
      </c>
      <c r="BG351" s="20">
        <f t="shared" si="255"/>
        <v>0</v>
      </c>
    </row>
    <row r="352" spans="1:59" ht="14.25" customHeight="1">
      <c r="A352" s="147" t="s">
        <v>59</v>
      </c>
      <c r="B352" s="147" t="s">
        <v>958</v>
      </c>
      <c r="C352" s="151" t="s">
        <v>959</v>
      </c>
      <c r="D352" s="151" t="s">
        <v>62</v>
      </c>
      <c r="E352" s="151">
        <v>26</v>
      </c>
      <c r="F352" s="149" t="s">
        <v>982</v>
      </c>
      <c r="G352" s="147" t="s">
        <v>961</v>
      </c>
      <c r="H352" s="147" t="s">
        <v>962</v>
      </c>
      <c r="I352" s="147" t="s">
        <v>737</v>
      </c>
      <c r="J352" s="164">
        <v>80111620</v>
      </c>
      <c r="K352" s="147" t="s">
        <v>963</v>
      </c>
      <c r="L352" s="147" t="s">
        <v>83</v>
      </c>
      <c r="M352" s="147" t="s">
        <v>983</v>
      </c>
      <c r="N352" s="147" t="s">
        <v>91</v>
      </c>
      <c r="O352" s="147" t="s">
        <v>91</v>
      </c>
      <c r="P352" s="149" t="s">
        <v>85</v>
      </c>
      <c r="Q352" s="147">
        <v>10</v>
      </c>
      <c r="R352" s="148" t="s">
        <v>72</v>
      </c>
      <c r="S352" s="148" t="s">
        <v>73</v>
      </c>
      <c r="T352" s="147" t="s">
        <v>74</v>
      </c>
      <c r="U352" s="197">
        <v>102907805</v>
      </c>
      <c r="V352" s="148">
        <v>102907805</v>
      </c>
      <c r="W352" s="147" t="s">
        <v>75</v>
      </c>
      <c r="X352" s="147" t="s">
        <v>67</v>
      </c>
      <c r="Y352" s="148" t="s">
        <v>965</v>
      </c>
      <c r="Z352" s="147" t="s">
        <v>966</v>
      </c>
      <c r="AA352" s="147">
        <v>6012220601</v>
      </c>
      <c r="AB352" s="196" t="s">
        <v>967</v>
      </c>
      <c r="AC352" s="14"/>
      <c r="AD352" s="14"/>
      <c r="AE352" s="14">
        <v>96778500</v>
      </c>
      <c r="AF352" s="14"/>
      <c r="AG352" s="14"/>
      <c r="AH352" s="14">
        <v>6129305</v>
      </c>
      <c r="AI352" s="14"/>
      <c r="AJ352" s="14">
        <v>9677850</v>
      </c>
      <c r="AK352" s="14"/>
      <c r="AL352" s="14">
        <v>9677850</v>
      </c>
      <c r="AM352" s="14"/>
      <c r="AN352" s="14">
        <v>9677850</v>
      </c>
      <c r="AO352" s="14"/>
      <c r="AP352" s="14">
        <v>9677850</v>
      </c>
      <c r="AQ352" s="14"/>
      <c r="AR352" s="14">
        <v>9677850</v>
      </c>
      <c r="AS352" s="14"/>
      <c r="AT352" s="14">
        <v>9677850</v>
      </c>
      <c r="AU352" s="28">
        <v>6129305</v>
      </c>
      <c r="AV352" s="25">
        <v>9677850</v>
      </c>
      <c r="AW352" s="25"/>
      <c r="AX352" s="25">
        <v>9677850</v>
      </c>
      <c r="AY352" s="25"/>
      <c r="AZ352" s="25">
        <v>19355700</v>
      </c>
      <c r="BA352" s="17"/>
      <c r="BB352" s="17"/>
      <c r="BC352" s="18">
        <f t="shared" si="251"/>
        <v>102907805</v>
      </c>
      <c r="BD352" s="18">
        <f t="shared" si="252"/>
        <v>102907805</v>
      </c>
      <c r="BE352" s="19">
        <f t="shared" si="253"/>
        <v>0</v>
      </c>
      <c r="BF352" s="20">
        <f t="shared" si="254"/>
        <v>0</v>
      </c>
      <c r="BG352" s="20">
        <f t="shared" si="255"/>
        <v>0</v>
      </c>
    </row>
    <row r="353" spans="1:59" ht="14.25" customHeight="1">
      <c r="A353" s="147" t="s">
        <v>59</v>
      </c>
      <c r="B353" s="147" t="s">
        <v>958</v>
      </c>
      <c r="C353" s="151" t="s">
        <v>959</v>
      </c>
      <c r="D353" s="151" t="s">
        <v>62</v>
      </c>
      <c r="E353" s="151">
        <v>26</v>
      </c>
      <c r="F353" s="149" t="s">
        <v>984</v>
      </c>
      <c r="G353" s="147" t="s">
        <v>961</v>
      </c>
      <c r="H353" s="147" t="s">
        <v>962</v>
      </c>
      <c r="I353" s="147" t="s">
        <v>737</v>
      </c>
      <c r="J353" s="164">
        <v>80111620</v>
      </c>
      <c r="K353" s="147" t="s">
        <v>963</v>
      </c>
      <c r="L353" s="147" t="s">
        <v>83</v>
      </c>
      <c r="M353" s="147" t="s">
        <v>985</v>
      </c>
      <c r="N353" s="147" t="s">
        <v>85</v>
      </c>
      <c r="O353" s="147" t="s">
        <v>85</v>
      </c>
      <c r="P353" s="149" t="s">
        <v>86</v>
      </c>
      <c r="Q353" s="147">
        <v>10.199999999999999</v>
      </c>
      <c r="R353" s="148" t="s">
        <v>72</v>
      </c>
      <c r="S353" s="148" t="s">
        <v>73</v>
      </c>
      <c r="T353" s="147" t="s">
        <v>74</v>
      </c>
      <c r="U353" s="197">
        <v>82176710</v>
      </c>
      <c r="V353" s="148">
        <v>82176710</v>
      </c>
      <c r="W353" s="147" t="s">
        <v>75</v>
      </c>
      <c r="X353" s="147" t="s">
        <v>67</v>
      </c>
      <c r="Y353" s="148" t="s">
        <v>965</v>
      </c>
      <c r="Z353" s="147" t="s">
        <v>966</v>
      </c>
      <c r="AA353" s="147">
        <v>6012220601</v>
      </c>
      <c r="AB353" s="196" t="s">
        <v>967</v>
      </c>
      <c r="AC353" s="14"/>
      <c r="AD353" s="14"/>
      <c r="AE353" s="14"/>
      <c r="AF353" s="14"/>
      <c r="AG353" s="14">
        <v>84276115</v>
      </c>
      <c r="AH353" s="14"/>
      <c r="AI353" s="14"/>
      <c r="AJ353" s="14">
        <v>1199660</v>
      </c>
      <c r="AK353" s="14">
        <v>-2099405</v>
      </c>
      <c r="AL353" s="14">
        <v>8997450</v>
      </c>
      <c r="AM353" s="14"/>
      <c r="AN353" s="14">
        <v>8997450</v>
      </c>
      <c r="AO353" s="14"/>
      <c r="AP353" s="14">
        <v>8997450</v>
      </c>
      <c r="AQ353" s="14"/>
      <c r="AR353" s="14">
        <v>8997450</v>
      </c>
      <c r="AS353" s="14"/>
      <c r="AT353" s="14">
        <v>8997450</v>
      </c>
      <c r="AU353" s="25"/>
      <c r="AV353" s="25">
        <v>8997450</v>
      </c>
      <c r="AW353" s="25"/>
      <c r="AX353" s="25">
        <v>8997450</v>
      </c>
      <c r="AY353" s="25"/>
      <c r="AZ353" s="25">
        <v>17994900</v>
      </c>
      <c r="BA353" s="17"/>
      <c r="BB353" s="17"/>
      <c r="BC353" s="18">
        <f t="shared" si="251"/>
        <v>82176710</v>
      </c>
      <c r="BD353" s="18">
        <f t="shared" si="252"/>
        <v>82176710</v>
      </c>
      <c r="BE353" s="19">
        <f t="shared" si="253"/>
        <v>0</v>
      </c>
      <c r="BF353" s="20">
        <f t="shared" si="254"/>
        <v>0</v>
      </c>
      <c r="BG353" s="20">
        <f t="shared" si="255"/>
        <v>0</v>
      </c>
    </row>
    <row r="354" spans="1:59" ht="14.25" customHeight="1">
      <c r="A354" s="150" t="s">
        <v>59</v>
      </c>
      <c r="B354" s="150" t="s">
        <v>958</v>
      </c>
      <c r="C354" s="152" t="s">
        <v>959</v>
      </c>
      <c r="D354" s="152" t="s">
        <v>62</v>
      </c>
      <c r="E354" s="152" t="s">
        <v>114</v>
      </c>
      <c r="F354" s="150" t="s">
        <v>986</v>
      </c>
      <c r="G354" s="150" t="s">
        <v>961</v>
      </c>
      <c r="H354" s="150" t="s">
        <v>962</v>
      </c>
      <c r="I354" s="150" t="s">
        <v>737</v>
      </c>
      <c r="J354" s="181">
        <v>80111620</v>
      </c>
      <c r="K354" s="150" t="s">
        <v>963</v>
      </c>
      <c r="L354" s="150" t="s">
        <v>83</v>
      </c>
      <c r="M354" s="150" t="s">
        <v>987</v>
      </c>
      <c r="N354" s="150" t="s">
        <v>91</v>
      </c>
      <c r="O354" s="150" t="s">
        <v>91</v>
      </c>
      <c r="P354" s="150" t="s">
        <v>91</v>
      </c>
      <c r="Q354" s="150">
        <v>11.5</v>
      </c>
      <c r="R354" s="183" t="s">
        <v>72</v>
      </c>
      <c r="S354" s="183" t="s">
        <v>73</v>
      </c>
      <c r="T354" s="183" t="s">
        <v>74</v>
      </c>
      <c r="U354" s="198">
        <v>9759026</v>
      </c>
      <c r="V354" s="183">
        <v>9759026</v>
      </c>
      <c r="W354" s="183" t="s">
        <v>75</v>
      </c>
      <c r="X354" s="150" t="s">
        <v>67</v>
      </c>
      <c r="Y354" s="150" t="s">
        <v>206</v>
      </c>
      <c r="Z354" s="150" t="s">
        <v>207</v>
      </c>
      <c r="AA354" s="150">
        <v>6012220601</v>
      </c>
      <c r="AB354" s="184" t="s">
        <v>208</v>
      </c>
      <c r="AC354" s="35">
        <v>9759026</v>
      </c>
      <c r="AD354" s="35"/>
      <c r="AE354" s="35"/>
      <c r="AF354" s="35"/>
      <c r="AG354" s="35"/>
      <c r="AH354" s="35"/>
      <c r="AI354" s="35"/>
      <c r="AJ354" s="35"/>
      <c r="AK354" s="35"/>
      <c r="AL354" s="35"/>
      <c r="AM354" s="35"/>
      <c r="AN354" s="35"/>
      <c r="AO354" s="35"/>
      <c r="AP354" s="35"/>
      <c r="AQ354" s="35"/>
      <c r="AR354" s="35"/>
      <c r="AS354" s="35"/>
      <c r="AT354" s="35">
        <v>8500000</v>
      </c>
      <c r="AU354" s="42"/>
      <c r="AV354" s="42"/>
      <c r="AW354" s="42"/>
      <c r="AX354" s="42"/>
      <c r="AY354" s="42"/>
      <c r="AZ354" s="70">
        <v>1259026</v>
      </c>
      <c r="BA354" s="17"/>
      <c r="BB354" s="17"/>
      <c r="BC354" s="18">
        <f t="shared" si="251"/>
        <v>9759026</v>
      </c>
      <c r="BD354" s="18">
        <f t="shared" si="252"/>
        <v>9759026</v>
      </c>
      <c r="BE354" s="19">
        <f t="shared" si="253"/>
        <v>0</v>
      </c>
      <c r="BF354" s="20">
        <f t="shared" si="254"/>
        <v>0</v>
      </c>
      <c r="BG354" s="20">
        <f t="shared" si="255"/>
        <v>0</v>
      </c>
    </row>
    <row r="355" spans="1:59" ht="14.25" customHeight="1">
      <c r="A355" s="150" t="s">
        <v>59</v>
      </c>
      <c r="B355" s="150" t="s">
        <v>958</v>
      </c>
      <c r="C355" s="152" t="s">
        <v>959</v>
      </c>
      <c r="D355" s="152" t="s">
        <v>62</v>
      </c>
      <c r="E355" s="152" t="s">
        <v>114</v>
      </c>
      <c r="F355" s="150" t="s">
        <v>988</v>
      </c>
      <c r="G355" s="150" t="s">
        <v>961</v>
      </c>
      <c r="H355" s="150" t="s">
        <v>962</v>
      </c>
      <c r="I355" s="150" t="s">
        <v>737</v>
      </c>
      <c r="J355" s="181">
        <v>80111620</v>
      </c>
      <c r="K355" s="150" t="s">
        <v>963</v>
      </c>
      <c r="L355" s="150" t="s">
        <v>83</v>
      </c>
      <c r="M355" s="150" t="s">
        <v>989</v>
      </c>
      <c r="N355" s="150" t="s">
        <v>91</v>
      </c>
      <c r="O355" s="150" t="s">
        <v>91</v>
      </c>
      <c r="P355" s="150" t="s">
        <v>91</v>
      </c>
      <c r="Q355" s="150">
        <v>11.5</v>
      </c>
      <c r="R355" s="183" t="s">
        <v>72</v>
      </c>
      <c r="S355" s="183" t="s">
        <v>73</v>
      </c>
      <c r="T355" s="183" t="s">
        <v>74</v>
      </c>
      <c r="U355" s="198">
        <v>9759026</v>
      </c>
      <c r="V355" s="183">
        <v>9759026</v>
      </c>
      <c r="W355" s="183" t="s">
        <v>75</v>
      </c>
      <c r="X355" s="150" t="s">
        <v>67</v>
      </c>
      <c r="Y355" s="150" t="s">
        <v>206</v>
      </c>
      <c r="Z355" s="150" t="s">
        <v>207</v>
      </c>
      <c r="AA355" s="150">
        <v>6012220601</v>
      </c>
      <c r="AB355" s="184" t="s">
        <v>208</v>
      </c>
      <c r="AC355" s="35">
        <v>9759026</v>
      </c>
      <c r="AD355" s="35"/>
      <c r="AE355" s="35"/>
      <c r="AF355" s="35"/>
      <c r="AG355" s="35"/>
      <c r="AH355" s="35"/>
      <c r="AI355" s="35"/>
      <c r="AJ355" s="35"/>
      <c r="AK355" s="35"/>
      <c r="AL355" s="35"/>
      <c r="AM355" s="35"/>
      <c r="AN355" s="35"/>
      <c r="AO355" s="35"/>
      <c r="AP355" s="35"/>
      <c r="AQ355" s="35"/>
      <c r="AR355" s="35"/>
      <c r="AS355" s="35"/>
      <c r="AT355" s="35">
        <v>3544065</v>
      </c>
      <c r="AU355" s="42"/>
      <c r="AV355" s="42"/>
      <c r="AW355" s="42"/>
      <c r="AX355" s="42"/>
      <c r="AY355" s="42"/>
      <c r="AZ355" s="42">
        <v>6214961</v>
      </c>
      <c r="BA355" s="17"/>
      <c r="BB355" s="17"/>
      <c r="BC355" s="18">
        <f t="shared" si="251"/>
        <v>9759026</v>
      </c>
      <c r="BD355" s="18">
        <f t="shared" si="252"/>
        <v>9759026</v>
      </c>
      <c r="BE355" s="19">
        <f t="shared" si="253"/>
        <v>0</v>
      </c>
      <c r="BF355" s="20">
        <f t="shared" si="254"/>
        <v>0</v>
      </c>
      <c r="BG355" s="20">
        <f t="shared" si="255"/>
        <v>0</v>
      </c>
    </row>
    <row r="356" spans="1:59" ht="14.25" customHeight="1">
      <c r="A356" s="147" t="s">
        <v>59</v>
      </c>
      <c r="B356" s="147" t="s">
        <v>958</v>
      </c>
      <c r="C356" s="151" t="s">
        <v>959</v>
      </c>
      <c r="D356" s="151" t="s">
        <v>62</v>
      </c>
      <c r="E356" s="151">
        <v>26</v>
      </c>
      <c r="F356" s="149" t="s">
        <v>990</v>
      </c>
      <c r="G356" s="147" t="s">
        <v>961</v>
      </c>
      <c r="H356" s="147" t="s">
        <v>962</v>
      </c>
      <c r="I356" s="147" t="s">
        <v>737</v>
      </c>
      <c r="J356" s="164">
        <v>80111620</v>
      </c>
      <c r="K356" s="147" t="s">
        <v>963</v>
      </c>
      <c r="L356" s="147" t="s">
        <v>83</v>
      </c>
      <c r="M356" s="147" t="s">
        <v>991</v>
      </c>
      <c r="N356" s="147" t="s">
        <v>91</v>
      </c>
      <c r="O356" s="147" t="s">
        <v>91</v>
      </c>
      <c r="P356" s="149" t="s">
        <v>85</v>
      </c>
      <c r="Q356" s="147">
        <v>11</v>
      </c>
      <c r="R356" s="148" t="s">
        <v>72</v>
      </c>
      <c r="S356" s="148" t="s">
        <v>73</v>
      </c>
      <c r="T356" s="147" t="s">
        <v>74</v>
      </c>
      <c r="U356" s="197">
        <v>114915480</v>
      </c>
      <c r="V356" s="148">
        <v>114915480</v>
      </c>
      <c r="W356" s="147" t="s">
        <v>75</v>
      </c>
      <c r="X356" s="147" t="s">
        <v>67</v>
      </c>
      <c r="Y356" s="148" t="s">
        <v>965</v>
      </c>
      <c r="Z356" s="147" t="s">
        <v>966</v>
      </c>
      <c r="AA356" s="147">
        <v>6012220601</v>
      </c>
      <c r="AB356" s="196" t="s">
        <v>967</v>
      </c>
      <c r="AC356" s="14"/>
      <c r="AD356" s="14"/>
      <c r="AE356" s="14">
        <v>115999100</v>
      </c>
      <c r="AF356" s="14"/>
      <c r="AG356" s="14"/>
      <c r="AH356" s="14">
        <v>8334480</v>
      </c>
      <c r="AI356" s="14">
        <v>-2083620</v>
      </c>
      <c r="AJ356" s="14">
        <v>10418100</v>
      </c>
      <c r="AK356" s="14"/>
      <c r="AL356" s="14">
        <v>10418100</v>
      </c>
      <c r="AM356" s="14"/>
      <c r="AN356" s="14">
        <v>10418100</v>
      </c>
      <c r="AO356" s="14">
        <v>1000000</v>
      </c>
      <c r="AP356" s="14">
        <v>10418100</v>
      </c>
      <c r="AQ356" s="14"/>
      <c r="AR356" s="14">
        <f>10418100+ 542037</f>
        <v>10960137</v>
      </c>
      <c r="AS356" s="14"/>
      <c r="AT356" s="14">
        <v>10418100</v>
      </c>
      <c r="AU356" s="15"/>
      <c r="AV356" s="15">
        <v>10418100</v>
      </c>
      <c r="AW356" s="15"/>
      <c r="AX356" s="15">
        <v>10418100</v>
      </c>
      <c r="AY356" s="15"/>
      <c r="AZ356" s="15">
        <v>20836200</v>
      </c>
      <c r="BA356" s="17"/>
      <c r="BB356" s="17">
        <v>1857963</v>
      </c>
      <c r="BC356" s="18">
        <f t="shared" si="251"/>
        <v>114915480</v>
      </c>
      <c r="BD356" s="18">
        <f t="shared" si="252"/>
        <v>114915480</v>
      </c>
      <c r="BE356" s="19">
        <f t="shared" si="253"/>
        <v>0</v>
      </c>
      <c r="BF356" s="20">
        <f t="shared" si="254"/>
        <v>0</v>
      </c>
      <c r="BG356" s="20">
        <f t="shared" si="255"/>
        <v>0</v>
      </c>
    </row>
    <row r="357" spans="1:59" ht="13.5" customHeight="1">
      <c r="A357" s="147" t="s">
        <v>59</v>
      </c>
      <c r="B357" s="147" t="s">
        <v>958</v>
      </c>
      <c r="C357" s="151" t="s">
        <v>959</v>
      </c>
      <c r="D357" s="151" t="s">
        <v>62</v>
      </c>
      <c r="E357" s="151" t="s">
        <v>114</v>
      </c>
      <c r="F357" s="149" t="s">
        <v>992</v>
      </c>
      <c r="G357" s="147" t="s">
        <v>961</v>
      </c>
      <c r="H357" s="147" t="s">
        <v>962</v>
      </c>
      <c r="I357" s="147" t="s">
        <v>737</v>
      </c>
      <c r="J357" s="164" t="s">
        <v>67</v>
      </c>
      <c r="K357" s="147" t="s">
        <v>963</v>
      </c>
      <c r="L357" s="147" t="s">
        <v>275</v>
      </c>
      <c r="M357" s="147" t="s">
        <v>993</v>
      </c>
      <c r="N357" s="147" t="s">
        <v>85</v>
      </c>
      <c r="O357" s="147" t="s">
        <v>85</v>
      </c>
      <c r="P357" s="149" t="s">
        <v>86</v>
      </c>
      <c r="Q357" s="147">
        <v>10</v>
      </c>
      <c r="R357" s="148" t="s">
        <v>72</v>
      </c>
      <c r="S357" s="149" t="s">
        <v>67</v>
      </c>
      <c r="T357" s="147" t="s">
        <v>74</v>
      </c>
      <c r="U357" s="197">
        <v>35000000</v>
      </c>
      <c r="V357" s="148">
        <v>35000000</v>
      </c>
      <c r="W357" s="147" t="s">
        <v>75</v>
      </c>
      <c r="X357" s="148" t="s">
        <v>67</v>
      </c>
      <c r="Y357" s="148" t="s">
        <v>965</v>
      </c>
      <c r="Z357" s="148" t="s">
        <v>966</v>
      </c>
      <c r="AA357" s="147">
        <v>6012220601</v>
      </c>
      <c r="AB357" s="196" t="s">
        <v>967</v>
      </c>
      <c r="AC357" s="14"/>
      <c r="AD357" s="14"/>
      <c r="AE357" s="14"/>
      <c r="AF357" s="14"/>
      <c r="AG357" s="14">
        <f t="shared" ref="AG357:AH357" si="257">943395+ 1214730</f>
        <v>2158125</v>
      </c>
      <c r="AH357" s="14">
        <f t="shared" si="257"/>
        <v>2158125</v>
      </c>
      <c r="AI357" s="14">
        <f>989245+ 1260580 + 495675 +284020+ 542037</f>
        <v>3571557</v>
      </c>
      <c r="AJ357" s="14">
        <f>284020+ 495675 + 989245 + 1260580 + 542037</f>
        <v>3571557</v>
      </c>
      <c r="AK357" s="14">
        <f>773186+ 610385 + 903395 + 374667 + 1073419 + 989245</f>
        <v>4724297</v>
      </c>
      <c r="AL357" s="14">
        <f>773186+ 610385 + 903395 +374667</f>
        <v>2661633</v>
      </c>
      <c r="AM357" s="14">
        <f>542037+ 495675</f>
        <v>1037712</v>
      </c>
      <c r="AN357" s="14">
        <f>989245+ 1073419 + 542037 + 495675</f>
        <v>3100376</v>
      </c>
      <c r="AO357" s="14">
        <f>1584390+ 579447+ 628871 + 669797</f>
        <v>3462505</v>
      </c>
      <c r="AP357" s="14">
        <f>579447+628871+ 1584390 +669797</f>
        <v>3462505</v>
      </c>
      <c r="AQ357" s="14"/>
      <c r="AR357" s="14"/>
      <c r="AS357" s="14">
        <f>822527+ 648145 + 598721 + 216791 + 273266</f>
        <v>2559450</v>
      </c>
      <c r="AT357" s="14">
        <f>648145+ 598721 + 822527 + 216791</f>
        <v>2286184</v>
      </c>
      <c r="AU357" s="48">
        <v>1300000</v>
      </c>
      <c r="AV357" s="48">
        <v>1300000</v>
      </c>
      <c r="AW357" s="48">
        <v>3900000</v>
      </c>
      <c r="AX357" s="48">
        <v>3900000</v>
      </c>
      <c r="AY357" s="48">
        <v>12286354</v>
      </c>
      <c r="AZ357" s="48">
        <v>12559620</v>
      </c>
      <c r="BA357" s="33"/>
      <c r="BB357" s="33"/>
      <c r="BC357" s="18">
        <f t="shared" si="251"/>
        <v>35000000</v>
      </c>
      <c r="BD357" s="18">
        <f t="shared" si="252"/>
        <v>35000000</v>
      </c>
      <c r="BE357" s="19">
        <f t="shared" si="253"/>
        <v>0</v>
      </c>
      <c r="BF357" s="20">
        <f t="shared" si="254"/>
        <v>0</v>
      </c>
      <c r="BG357" s="20">
        <f t="shared" si="255"/>
        <v>0</v>
      </c>
    </row>
    <row r="358" spans="1:59" ht="14.25" customHeight="1">
      <c r="A358" s="147" t="s">
        <v>59</v>
      </c>
      <c r="B358" s="147" t="s">
        <v>958</v>
      </c>
      <c r="C358" s="151" t="s">
        <v>959</v>
      </c>
      <c r="D358" s="151" t="s">
        <v>62</v>
      </c>
      <c r="E358" s="151" t="s">
        <v>114</v>
      </c>
      <c r="F358" s="149" t="s">
        <v>994</v>
      </c>
      <c r="G358" s="147" t="s">
        <v>961</v>
      </c>
      <c r="H358" s="147" t="s">
        <v>962</v>
      </c>
      <c r="I358" s="147" t="s">
        <v>737</v>
      </c>
      <c r="J358" s="164">
        <v>80111620</v>
      </c>
      <c r="K358" s="147" t="s">
        <v>963</v>
      </c>
      <c r="L358" s="147" t="s">
        <v>83</v>
      </c>
      <c r="M358" s="147" t="s">
        <v>995</v>
      </c>
      <c r="N358" s="147" t="s">
        <v>91</v>
      </c>
      <c r="O358" s="147" t="s">
        <v>91</v>
      </c>
      <c r="P358" s="147" t="s">
        <v>91</v>
      </c>
      <c r="Q358" s="147">
        <v>11.5</v>
      </c>
      <c r="R358" s="148" t="s">
        <v>72</v>
      </c>
      <c r="S358" s="148" t="s">
        <v>73</v>
      </c>
      <c r="T358" s="148" t="s">
        <v>74</v>
      </c>
      <c r="U358" s="197">
        <v>8050000</v>
      </c>
      <c r="V358" s="148">
        <v>8050000</v>
      </c>
      <c r="W358" s="148" t="s">
        <v>75</v>
      </c>
      <c r="X358" s="147" t="s">
        <v>67</v>
      </c>
      <c r="Y358" s="148" t="s">
        <v>965</v>
      </c>
      <c r="Z358" s="148" t="s">
        <v>966</v>
      </c>
      <c r="AA358" s="147">
        <v>6012220601</v>
      </c>
      <c r="AB358" s="196" t="s">
        <v>967</v>
      </c>
      <c r="AC358" s="14">
        <v>8050000</v>
      </c>
      <c r="AD358" s="14"/>
      <c r="AE358" s="14"/>
      <c r="AF358" s="14">
        <v>350000</v>
      </c>
      <c r="AG358" s="14"/>
      <c r="AH358" s="14">
        <v>700000</v>
      </c>
      <c r="AI358" s="14"/>
      <c r="AJ358" s="14">
        <v>700000</v>
      </c>
      <c r="AK358" s="14"/>
      <c r="AL358" s="14">
        <v>700000</v>
      </c>
      <c r="AM358" s="14"/>
      <c r="AN358" s="14">
        <f>700000</f>
        <v>700000</v>
      </c>
      <c r="AO358" s="14"/>
      <c r="AP358" s="14">
        <v>700000</v>
      </c>
      <c r="AQ358" s="14"/>
      <c r="AR358" s="14">
        <v>700000</v>
      </c>
      <c r="AS358" s="14"/>
      <c r="AT358" s="14">
        <v>700000</v>
      </c>
      <c r="AU358" s="25"/>
      <c r="AV358" s="25">
        <v>700000</v>
      </c>
      <c r="AW358" s="25"/>
      <c r="AX358" s="25">
        <v>700000</v>
      </c>
      <c r="AY358" s="25"/>
      <c r="AZ358" s="25">
        <v>1400000</v>
      </c>
      <c r="BA358" s="17"/>
      <c r="BB358" s="17"/>
      <c r="BC358" s="18">
        <f t="shared" si="251"/>
        <v>8050000</v>
      </c>
      <c r="BD358" s="18">
        <f t="shared" si="252"/>
        <v>8050000</v>
      </c>
      <c r="BE358" s="19">
        <f t="shared" si="253"/>
        <v>0</v>
      </c>
      <c r="BF358" s="20">
        <f t="shared" si="254"/>
        <v>0</v>
      </c>
      <c r="BG358" s="20">
        <f t="shared" si="255"/>
        <v>0</v>
      </c>
    </row>
    <row r="359" spans="1:59" ht="14.25" customHeight="1">
      <c r="A359" s="147" t="s">
        <v>59</v>
      </c>
      <c r="B359" s="147" t="s">
        <v>958</v>
      </c>
      <c r="C359" s="151" t="s">
        <v>959</v>
      </c>
      <c r="D359" s="151" t="s">
        <v>62</v>
      </c>
      <c r="E359" s="151">
        <v>4</v>
      </c>
      <c r="F359" s="149" t="s">
        <v>996</v>
      </c>
      <c r="G359" s="147" t="s">
        <v>961</v>
      </c>
      <c r="H359" s="147" t="s">
        <v>962</v>
      </c>
      <c r="I359" s="147" t="s">
        <v>737</v>
      </c>
      <c r="J359" s="164">
        <v>80111620</v>
      </c>
      <c r="K359" s="147" t="s">
        <v>963</v>
      </c>
      <c r="L359" s="147" t="s">
        <v>83</v>
      </c>
      <c r="M359" s="147" t="s">
        <v>997</v>
      </c>
      <c r="N359" s="147" t="s">
        <v>85</v>
      </c>
      <c r="O359" s="147" t="s">
        <v>85</v>
      </c>
      <c r="P359" s="147" t="s">
        <v>85</v>
      </c>
      <c r="Q359" s="147">
        <v>11</v>
      </c>
      <c r="R359" s="148" t="s">
        <v>72</v>
      </c>
      <c r="S359" s="148" t="s">
        <v>73</v>
      </c>
      <c r="T359" s="148" t="s">
        <v>74</v>
      </c>
      <c r="U359" s="197">
        <v>11400000</v>
      </c>
      <c r="V359" s="148">
        <v>11400000</v>
      </c>
      <c r="W359" s="148" t="s">
        <v>75</v>
      </c>
      <c r="X359" s="147" t="s">
        <v>67</v>
      </c>
      <c r="Y359" s="148" t="s">
        <v>965</v>
      </c>
      <c r="Z359" s="148" t="s">
        <v>966</v>
      </c>
      <c r="AA359" s="147">
        <v>6012220601</v>
      </c>
      <c r="AB359" s="196" t="s">
        <v>967</v>
      </c>
      <c r="AC359" s="14"/>
      <c r="AD359" s="14"/>
      <c r="AE359" s="14">
        <v>11400000</v>
      </c>
      <c r="AF359" s="14"/>
      <c r="AG359" s="14"/>
      <c r="AH359" s="14">
        <v>909091</v>
      </c>
      <c r="AI359" s="14"/>
      <c r="AJ359" s="14">
        <v>1948050</v>
      </c>
      <c r="AK359" s="14"/>
      <c r="AL359" s="14">
        <v>1948050</v>
      </c>
      <c r="AM359" s="14"/>
      <c r="AN359" s="14">
        <v>824351</v>
      </c>
      <c r="AO359" s="14"/>
      <c r="AP359" s="14">
        <v>824351</v>
      </c>
      <c r="AQ359" s="14"/>
      <c r="AR359" s="14">
        <f>2759758+ 1362106</f>
        <v>4121864</v>
      </c>
      <c r="AS359" s="14"/>
      <c r="AT359" s="14">
        <v>824243</v>
      </c>
      <c r="AU359" s="15"/>
      <c r="AV359" s="15"/>
      <c r="AW359" s="15"/>
      <c r="AX359" s="15"/>
      <c r="AY359" s="15"/>
      <c r="AZ359" s="15"/>
      <c r="BA359" s="17"/>
      <c r="BB359" s="17"/>
      <c r="BC359" s="18">
        <f t="shared" si="251"/>
        <v>11400000</v>
      </c>
      <c r="BD359" s="18">
        <f t="shared" si="252"/>
        <v>11400000</v>
      </c>
      <c r="BE359" s="19">
        <f t="shared" si="253"/>
        <v>0</v>
      </c>
      <c r="BF359" s="20">
        <f t="shared" si="254"/>
        <v>0</v>
      </c>
      <c r="BG359" s="20">
        <f t="shared" si="255"/>
        <v>0</v>
      </c>
    </row>
    <row r="360" spans="1:59" ht="14.25" customHeight="1">
      <c r="A360" s="147" t="s">
        <v>59</v>
      </c>
      <c r="B360" s="147" t="s">
        <v>958</v>
      </c>
      <c r="C360" s="151" t="s">
        <v>959</v>
      </c>
      <c r="D360" s="151" t="s">
        <v>62</v>
      </c>
      <c r="E360" s="151" t="s">
        <v>114</v>
      </c>
      <c r="F360" s="149" t="s">
        <v>998</v>
      </c>
      <c r="G360" s="147" t="s">
        <v>961</v>
      </c>
      <c r="H360" s="147" t="s">
        <v>962</v>
      </c>
      <c r="I360" s="147" t="s">
        <v>737</v>
      </c>
      <c r="J360" s="164">
        <v>80111620</v>
      </c>
      <c r="K360" s="147" t="s">
        <v>963</v>
      </c>
      <c r="L360" s="147" t="s">
        <v>83</v>
      </c>
      <c r="M360" s="147" t="s">
        <v>999</v>
      </c>
      <c r="N360" s="147" t="s">
        <v>91</v>
      </c>
      <c r="O360" s="147" t="s">
        <v>91</v>
      </c>
      <c r="P360" s="147" t="s">
        <v>85</v>
      </c>
      <c r="Q360" s="147">
        <v>10</v>
      </c>
      <c r="R360" s="148" t="s">
        <v>72</v>
      </c>
      <c r="S360" s="148" t="s">
        <v>73</v>
      </c>
      <c r="T360" s="147" t="s">
        <v>74</v>
      </c>
      <c r="U360" s="197">
        <v>75000000</v>
      </c>
      <c r="V360" s="148">
        <v>75000000</v>
      </c>
      <c r="W360" s="147" t="s">
        <v>75</v>
      </c>
      <c r="X360" s="148" t="s">
        <v>67</v>
      </c>
      <c r="Y360" s="147" t="s">
        <v>965</v>
      </c>
      <c r="Z360" s="147" t="s">
        <v>966</v>
      </c>
      <c r="AA360" s="147">
        <v>6012220601</v>
      </c>
      <c r="AB360" s="160" t="s">
        <v>967</v>
      </c>
      <c r="AC360" s="14"/>
      <c r="AD360" s="14"/>
      <c r="AE360" s="14">
        <v>75000000</v>
      </c>
      <c r="AF360" s="14"/>
      <c r="AG360" s="14"/>
      <c r="AH360" s="14">
        <v>6500000</v>
      </c>
      <c r="AI360" s="14"/>
      <c r="AJ360" s="14">
        <v>7500000</v>
      </c>
      <c r="AK360" s="14"/>
      <c r="AL360" s="14">
        <v>7500000</v>
      </c>
      <c r="AM360" s="14"/>
      <c r="AN360" s="14">
        <v>7500000</v>
      </c>
      <c r="AO360" s="14"/>
      <c r="AP360" s="14">
        <v>7500000</v>
      </c>
      <c r="AQ360" s="14"/>
      <c r="AR360" s="14">
        <v>7500000</v>
      </c>
      <c r="AS360" s="14"/>
      <c r="AT360" s="14">
        <v>7500000</v>
      </c>
      <c r="AU360" s="25"/>
      <c r="AV360" s="25">
        <v>7500000</v>
      </c>
      <c r="AW360" s="25"/>
      <c r="AX360" s="25">
        <v>7500000</v>
      </c>
      <c r="AY360" s="25"/>
      <c r="AZ360" s="28">
        <v>8500000</v>
      </c>
      <c r="BA360" s="17"/>
      <c r="BB360" s="17"/>
      <c r="BC360" s="18">
        <f t="shared" si="251"/>
        <v>75000000</v>
      </c>
      <c r="BD360" s="18">
        <f t="shared" si="252"/>
        <v>75000000</v>
      </c>
      <c r="BE360" s="19">
        <f t="shared" si="253"/>
        <v>0</v>
      </c>
      <c r="BF360" s="20">
        <f t="shared" si="254"/>
        <v>0</v>
      </c>
      <c r="BG360" s="20">
        <f t="shared" si="255"/>
        <v>0</v>
      </c>
    </row>
    <row r="361" spans="1:59" ht="14.25" customHeight="1">
      <c r="A361" s="147" t="s">
        <v>59</v>
      </c>
      <c r="B361" s="147" t="s">
        <v>958</v>
      </c>
      <c r="C361" s="151" t="s">
        <v>959</v>
      </c>
      <c r="D361" s="151" t="s">
        <v>62</v>
      </c>
      <c r="E361" s="151">
        <v>37</v>
      </c>
      <c r="F361" s="149" t="s">
        <v>1000</v>
      </c>
      <c r="G361" s="147" t="s">
        <v>961</v>
      </c>
      <c r="H361" s="147" t="s">
        <v>962</v>
      </c>
      <c r="I361" s="147" t="s">
        <v>737</v>
      </c>
      <c r="J361" s="164">
        <v>80111620</v>
      </c>
      <c r="K361" s="147" t="s">
        <v>963</v>
      </c>
      <c r="L361" s="147" t="s">
        <v>83</v>
      </c>
      <c r="M361" s="147" t="s">
        <v>1001</v>
      </c>
      <c r="N361" s="147" t="s">
        <v>91</v>
      </c>
      <c r="O361" s="147" t="s">
        <v>91</v>
      </c>
      <c r="P361" s="147" t="s">
        <v>91</v>
      </c>
      <c r="Q361" s="147">
        <v>10</v>
      </c>
      <c r="R361" s="148" t="s">
        <v>72</v>
      </c>
      <c r="S361" s="148" t="s">
        <v>73</v>
      </c>
      <c r="T361" s="147" t="s">
        <v>74</v>
      </c>
      <c r="U361" s="197">
        <v>19283470</v>
      </c>
      <c r="V361" s="148">
        <v>19283470</v>
      </c>
      <c r="W361" s="147" t="s">
        <v>75</v>
      </c>
      <c r="X361" s="148" t="s">
        <v>67</v>
      </c>
      <c r="Y361" s="147" t="s">
        <v>965</v>
      </c>
      <c r="Z361" s="147" t="s">
        <v>966</v>
      </c>
      <c r="AA361" s="147">
        <v>6012220601</v>
      </c>
      <c r="AB361" s="160" t="s">
        <v>967</v>
      </c>
      <c r="AC361" s="14">
        <v>41619000</v>
      </c>
      <c r="AD361" s="14"/>
      <c r="AE361" s="14"/>
      <c r="AF361" s="14">
        <v>416190</v>
      </c>
      <c r="AG361" s="14"/>
      <c r="AH361" s="14">
        <v>4161900</v>
      </c>
      <c r="AI361" s="14"/>
      <c r="AJ361" s="14">
        <v>4161900</v>
      </c>
      <c r="AK361" s="14"/>
      <c r="AL361" s="14">
        <v>4161900</v>
      </c>
      <c r="AM361" s="14">
        <v>-22335530</v>
      </c>
      <c r="AN361" s="14">
        <v>4161900</v>
      </c>
      <c r="AO361" s="14"/>
      <c r="AP361" s="14"/>
      <c r="AQ361" s="14"/>
      <c r="AR361" s="14">
        <v>2219680</v>
      </c>
      <c r="AS361" s="14"/>
      <c r="AT361" s="14"/>
      <c r="AU361" s="25"/>
      <c r="AV361" s="25"/>
      <c r="AW361" s="25"/>
      <c r="AX361" s="25"/>
      <c r="AY361" s="25"/>
      <c r="AZ361" s="25"/>
      <c r="BA361" s="17"/>
      <c r="BB361" s="17"/>
      <c r="BC361" s="18">
        <f t="shared" si="251"/>
        <v>19283470</v>
      </c>
      <c r="BD361" s="18">
        <f t="shared" si="252"/>
        <v>19283470</v>
      </c>
      <c r="BE361" s="19">
        <f t="shared" si="253"/>
        <v>0</v>
      </c>
      <c r="BF361" s="20">
        <f t="shared" si="254"/>
        <v>0</v>
      </c>
      <c r="BG361" s="20">
        <f t="shared" si="255"/>
        <v>0</v>
      </c>
    </row>
    <row r="362" spans="1:59" ht="14.25" customHeight="1">
      <c r="A362" s="147" t="s">
        <v>59</v>
      </c>
      <c r="B362" s="147" t="s">
        <v>958</v>
      </c>
      <c r="C362" s="151" t="s">
        <v>959</v>
      </c>
      <c r="D362" s="151" t="s">
        <v>62</v>
      </c>
      <c r="E362" s="151">
        <v>26</v>
      </c>
      <c r="F362" s="149" t="s">
        <v>1002</v>
      </c>
      <c r="G362" s="147" t="s">
        <v>1003</v>
      </c>
      <c r="H362" s="147" t="s">
        <v>1004</v>
      </c>
      <c r="I362" s="147" t="s">
        <v>288</v>
      </c>
      <c r="J362" s="164">
        <v>80111620</v>
      </c>
      <c r="K362" s="147" t="s">
        <v>1005</v>
      </c>
      <c r="L362" s="147" t="s">
        <v>83</v>
      </c>
      <c r="M362" s="147" t="s">
        <v>1006</v>
      </c>
      <c r="N362" s="147" t="s">
        <v>91</v>
      </c>
      <c r="O362" s="147" t="s">
        <v>91</v>
      </c>
      <c r="P362" s="147" t="s">
        <v>91</v>
      </c>
      <c r="Q362" s="147">
        <v>11.2</v>
      </c>
      <c r="R362" s="148" t="s">
        <v>72</v>
      </c>
      <c r="S362" s="148" t="s">
        <v>73</v>
      </c>
      <c r="T362" s="148" t="s">
        <v>74</v>
      </c>
      <c r="U362" s="197">
        <v>116588180</v>
      </c>
      <c r="V362" s="148">
        <v>116588180</v>
      </c>
      <c r="W362" s="148" t="s">
        <v>75</v>
      </c>
      <c r="X362" s="147" t="s">
        <v>67</v>
      </c>
      <c r="Y362" s="148" t="s">
        <v>965</v>
      </c>
      <c r="Z362" s="148" t="s">
        <v>966</v>
      </c>
      <c r="AA362" s="147">
        <v>6012220601</v>
      </c>
      <c r="AB362" s="196" t="s">
        <v>967</v>
      </c>
      <c r="AC362" s="14">
        <v>117977260</v>
      </c>
      <c r="AD362" s="14"/>
      <c r="AE362" s="14">
        <v>-1389080</v>
      </c>
      <c r="AF362" s="14">
        <v>1389080</v>
      </c>
      <c r="AG362" s="14"/>
      <c r="AH362" s="14">
        <v>10418100</v>
      </c>
      <c r="AI362" s="14"/>
      <c r="AJ362" s="14">
        <f>10418000+100</f>
        <v>10418100</v>
      </c>
      <c r="AK362" s="14"/>
      <c r="AL362" s="14">
        <v>10418100</v>
      </c>
      <c r="AM362" s="14"/>
      <c r="AN362" s="14">
        <v>10418100</v>
      </c>
      <c r="AO362" s="14"/>
      <c r="AP362" s="14">
        <v>10418100</v>
      </c>
      <c r="AQ362" s="14"/>
      <c r="AR362" s="14">
        <v>10418100</v>
      </c>
      <c r="AS362" s="14"/>
      <c r="AT362" s="14">
        <v>10418100</v>
      </c>
      <c r="AU362" s="25"/>
      <c r="AV362" s="14">
        <v>10418100</v>
      </c>
      <c r="AW362" s="25"/>
      <c r="AX362" s="25">
        <v>10418100</v>
      </c>
      <c r="AY362" s="25"/>
      <c r="AZ362" s="28">
        <v>21436200</v>
      </c>
      <c r="BA362" s="17"/>
      <c r="BB362" s="33"/>
      <c r="BC362" s="18">
        <f t="shared" si="251"/>
        <v>116588180</v>
      </c>
      <c r="BD362" s="18">
        <f t="shared" si="252"/>
        <v>116588180</v>
      </c>
      <c r="BE362" s="19">
        <f t="shared" si="253"/>
        <v>0</v>
      </c>
      <c r="BF362" s="20">
        <f t="shared" si="254"/>
        <v>0</v>
      </c>
      <c r="BG362" s="20">
        <f t="shared" si="255"/>
        <v>0</v>
      </c>
    </row>
    <row r="363" spans="1:59" ht="14.25" customHeight="1">
      <c r="A363" s="147" t="s">
        <v>59</v>
      </c>
      <c r="B363" s="147" t="s">
        <v>958</v>
      </c>
      <c r="C363" s="151" t="s">
        <v>959</v>
      </c>
      <c r="D363" s="151" t="s">
        <v>62</v>
      </c>
      <c r="E363" s="151">
        <v>29</v>
      </c>
      <c r="F363" s="149" t="s">
        <v>1007</v>
      </c>
      <c r="G363" s="147" t="s">
        <v>1003</v>
      </c>
      <c r="H363" s="147" t="s">
        <v>1004</v>
      </c>
      <c r="I363" s="147" t="s">
        <v>288</v>
      </c>
      <c r="J363" s="164">
        <v>80111620</v>
      </c>
      <c r="K363" s="147" t="s">
        <v>1005</v>
      </c>
      <c r="L363" s="147" t="s">
        <v>83</v>
      </c>
      <c r="M363" s="147" t="s">
        <v>1008</v>
      </c>
      <c r="N363" s="147" t="s">
        <v>91</v>
      </c>
      <c r="O363" s="147" t="s">
        <v>91</v>
      </c>
      <c r="P363" s="147" t="s">
        <v>91</v>
      </c>
      <c r="Q363" s="147">
        <v>11.5</v>
      </c>
      <c r="R363" s="148" t="s">
        <v>72</v>
      </c>
      <c r="S363" s="148" t="s">
        <v>73</v>
      </c>
      <c r="T363" s="148" t="s">
        <v>74</v>
      </c>
      <c r="U363" s="197">
        <v>50729596</v>
      </c>
      <c r="V363" s="148">
        <v>50729596</v>
      </c>
      <c r="W363" s="148" t="s">
        <v>75</v>
      </c>
      <c r="X363" s="147" t="s">
        <v>67</v>
      </c>
      <c r="Y363" s="148" t="s">
        <v>965</v>
      </c>
      <c r="Z363" s="148" t="s">
        <v>966</v>
      </c>
      <c r="AA363" s="147">
        <v>6012220601</v>
      </c>
      <c r="AB363" s="196" t="s">
        <v>967</v>
      </c>
      <c r="AC363" s="14">
        <v>121208150</v>
      </c>
      <c r="AD363" s="14"/>
      <c r="AE363" s="14">
        <v>-347270</v>
      </c>
      <c r="AF363" s="14">
        <v>4861780</v>
      </c>
      <c r="AG363" s="14"/>
      <c r="AH363" s="14">
        <v>10418100</v>
      </c>
      <c r="AI363" s="14"/>
      <c r="AJ363" s="14">
        <v>10418100</v>
      </c>
      <c r="AK363" s="14"/>
      <c r="AL363" s="14">
        <f>10418100+ 722716</f>
        <v>11140816</v>
      </c>
      <c r="AM363" s="14">
        <v>-70131284</v>
      </c>
      <c r="AN363" s="14">
        <v>10418100</v>
      </c>
      <c r="AO363" s="14"/>
      <c r="AP363" s="14"/>
      <c r="AQ363" s="14"/>
      <c r="AR363" s="14">
        <v>3472700</v>
      </c>
      <c r="AS363" s="14"/>
      <c r="AT363" s="14"/>
      <c r="AU363" s="25"/>
      <c r="AV363" s="25"/>
      <c r="AW363" s="25"/>
      <c r="AX363" s="25"/>
      <c r="AY363" s="25"/>
      <c r="AZ363" s="25"/>
      <c r="BA363" s="17"/>
      <c r="BB363" s="17"/>
      <c r="BC363" s="18">
        <f t="shared" si="251"/>
        <v>50729596</v>
      </c>
      <c r="BD363" s="18">
        <f t="shared" si="252"/>
        <v>50729596</v>
      </c>
      <c r="BE363" s="19">
        <f t="shared" si="253"/>
        <v>0</v>
      </c>
      <c r="BF363" s="20">
        <f t="shared" si="254"/>
        <v>0</v>
      </c>
      <c r="BG363" s="20">
        <f t="shared" si="255"/>
        <v>0</v>
      </c>
    </row>
    <row r="364" spans="1:59" ht="14.25" customHeight="1">
      <c r="A364" s="147" t="s">
        <v>59</v>
      </c>
      <c r="B364" s="147" t="s">
        <v>958</v>
      </c>
      <c r="C364" s="151" t="s">
        <v>959</v>
      </c>
      <c r="D364" s="151" t="s">
        <v>62</v>
      </c>
      <c r="E364" s="151">
        <v>29</v>
      </c>
      <c r="F364" s="149" t="s">
        <v>1009</v>
      </c>
      <c r="G364" s="147" t="s">
        <v>1003</v>
      </c>
      <c r="H364" s="147" t="s">
        <v>1004</v>
      </c>
      <c r="I364" s="147" t="s">
        <v>288</v>
      </c>
      <c r="J364" s="164">
        <v>80111620</v>
      </c>
      <c r="K364" s="147" t="s">
        <v>1005</v>
      </c>
      <c r="L364" s="147" t="s">
        <v>83</v>
      </c>
      <c r="M364" s="147" t="s">
        <v>1010</v>
      </c>
      <c r="N364" s="147" t="s">
        <v>91</v>
      </c>
      <c r="O364" s="147" t="s">
        <v>91</v>
      </c>
      <c r="P364" s="147" t="s">
        <v>91</v>
      </c>
      <c r="Q364" s="147">
        <v>11.5</v>
      </c>
      <c r="R364" s="148" t="s">
        <v>72</v>
      </c>
      <c r="S364" s="148" t="s">
        <v>73</v>
      </c>
      <c r="T364" s="148" t="s">
        <v>74</v>
      </c>
      <c r="U364" s="197">
        <v>48965070</v>
      </c>
      <c r="V364" s="148">
        <v>48965070</v>
      </c>
      <c r="W364" s="148" t="s">
        <v>75</v>
      </c>
      <c r="X364" s="147" t="s">
        <v>67</v>
      </c>
      <c r="Y364" s="148" t="s">
        <v>965</v>
      </c>
      <c r="Z364" s="148" t="s">
        <v>966</v>
      </c>
      <c r="AA364" s="147">
        <v>6012220601</v>
      </c>
      <c r="AB364" s="196" t="s">
        <v>967</v>
      </c>
      <c r="AC364" s="14">
        <v>120408150</v>
      </c>
      <c r="AD364" s="14"/>
      <c r="AE364" s="14"/>
      <c r="AF364" s="14">
        <v>3819970</v>
      </c>
      <c r="AG364" s="14">
        <v>-1389080</v>
      </c>
      <c r="AH364" s="14">
        <v>10418100</v>
      </c>
      <c r="AI364" s="14"/>
      <c r="AJ364" s="14">
        <v>10418100</v>
      </c>
      <c r="AK364" s="14"/>
      <c r="AL364" s="14">
        <v>10418100</v>
      </c>
      <c r="AM364" s="14">
        <v>-70054000</v>
      </c>
      <c r="AN364" s="14">
        <v>10418100</v>
      </c>
      <c r="AO364" s="14"/>
      <c r="AP364" s="14"/>
      <c r="AQ364" s="14"/>
      <c r="AR364" s="14"/>
      <c r="AS364" s="14"/>
      <c r="AT364" s="14">
        <v>3472700</v>
      </c>
      <c r="AU364" s="25"/>
      <c r="AV364" s="25"/>
      <c r="AW364" s="25"/>
      <c r="AX364" s="25"/>
      <c r="AY364" s="25"/>
      <c r="AZ364" s="25"/>
      <c r="BA364" s="17"/>
      <c r="BB364" s="17"/>
      <c r="BC364" s="18">
        <f t="shared" si="251"/>
        <v>48965070</v>
      </c>
      <c r="BD364" s="18">
        <f t="shared" si="252"/>
        <v>48965070</v>
      </c>
      <c r="BE364" s="19">
        <f t="shared" si="253"/>
        <v>0</v>
      </c>
      <c r="BF364" s="20">
        <f t="shared" si="254"/>
        <v>0</v>
      </c>
      <c r="BG364" s="20">
        <f t="shared" si="255"/>
        <v>0</v>
      </c>
    </row>
    <row r="365" spans="1:59" ht="14.25" customHeight="1">
      <c r="A365" s="147" t="s">
        <v>59</v>
      </c>
      <c r="B365" s="147" t="s">
        <v>958</v>
      </c>
      <c r="C365" s="151" t="s">
        <v>959</v>
      </c>
      <c r="D365" s="151" t="s">
        <v>62</v>
      </c>
      <c r="E365" s="151">
        <v>26</v>
      </c>
      <c r="F365" s="149" t="s">
        <v>1011</v>
      </c>
      <c r="G365" s="147" t="s">
        <v>1003</v>
      </c>
      <c r="H365" s="147" t="s">
        <v>1004</v>
      </c>
      <c r="I365" s="147" t="s">
        <v>288</v>
      </c>
      <c r="J365" s="164">
        <v>80111620</v>
      </c>
      <c r="K365" s="147" t="s">
        <v>1005</v>
      </c>
      <c r="L365" s="147" t="s">
        <v>83</v>
      </c>
      <c r="M365" s="147" t="s">
        <v>1012</v>
      </c>
      <c r="N365" s="147" t="s">
        <v>91</v>
      </c>
      <c r="O365" s="147" t="s">
        <v>91</v>
      </c>
      <c r="P365" s="149" t="s">
        <v>85</v>
      </c>
      <c r="Q365" s="147">
        <v>11</v>
      </c>
      <c r="R365" s="148" t="s">
        <v>72</v>
      </c>
      <c r="S365" s="148" t="s">
        <v>73</v>
      </c>
      <c r="T365" s="147" t="s">
        <v>74</v>
      </c>
      <c r="U365" s="197">
        <v>12642630</v>
      </c>
      <c r="V365" s="148">
        <v>12642630</v>
      </c>
      <c r="W365" s="147" t="s">
        <v>75</v>
      </c>
      <c r="X365" s="147" t="s">
        <v>67</v>
      </c>
      <c r="Y365" s="148" t="s">
        <v>965</v>
      </c>
      <c r="Z365" s="147" t="s">
        <v>966</v>
      </c>
      <c r="AA365" s="147">
        <v>6012220601</v>
      </c>
      <c r="AB365" s="196" t="s">
        <v>967</v>
      </c>
      <c r="AC365" s="14"/>
      <c r="AD365" s="14"/>
      <c r="AE365" s="14">
        <v>17239950</v>
      </c>
      <c r="AF365" s="14"/>
      <c r="AG365" s="14"/>
      <c r="AH365" s="14">
        <v>3831100</v>
      </c>
      <c r="AI365" s="14">
        <v>-4597320</v>
      </c>
      <c r="AJ365" s="14">
        <f>5746650+ 3064880</f>
        <v>8811530</v>
      </c>
      <c r="AK365" s="14"/>
      <c r="AL365" s="14"/>
      <c r="AM365" s="14"/>
      <c r="AN365" s="14"/>
      <c r="AO365" s="14"/>
      <c r="AP365" s="14"/>
      <c r="AQ365" s="14"/>
      <c r="AR365" s="14"/>
      <c r="AS365" s="14"/>
      <c r="AT365" s="14"/>
      <c r="AU365" s="25"/>
      <c r="AV365" s="25"/>
      <c r="AW365" s="25"/>
      <c r="AX365" s="25"/>
      <c r="AY365" s="25"/>
      <c r="AZ365" s="25"/>
      <c r="BA365" s="17"/>
      <c r="BB365" s="17"/>
      <c r="BC365" s="18">
        <f t="shared" si="251"/>
        <v>12642630</v>
      </c>
      <c r="BD365" s="18">
        <f t="shared" si="252"/>
        <v>12642630</v>
      </c>
      <c r="BE365" s="19">
        <f t="shared" si="253"/>
        <v>0</v>
      </c>
      <c r="BF365" s="20">
        <f t="shared" si="254"/>
        <v>0</v>
      </c>
      <c r="BG365" s="20">
        <f t="shared" si="255"/>
        <v>0</v>
      </c>
    </row>
    <row r="366" spans="1:59" ht="14.25" customHeight="1">
      <c r="A366" s="147" t="s">
        <v>59</v>
      </c>
      <c r="B366" s="147" t="s">
        <v>958</v>
      </c>
      <c r="C366" s="151" t="s">
        <v>959</v>
      </c>
      <c r="D366" s="151" t="s">
        <v>62</v>
      </c>
      <c r="E366" s="151">
        <v>26</v>
      </c>
      <c r="F366" s="149" t="s">
        <v>1013</v>
      </c>
      <c r="G366" s="147" t="s">
        <v>1003</v>
      </c>
      <c r="H366" s="147" t="s">
        <v>1004</v>
      </c>
      <c r="I366" s="147" t="s">
        <v>288</v>
      </c>
      <c r="J366" s="164">
        <v>80111620</v>
      </c>
      <c r="K366" s="147" t="s">
        <v>1005</v>
      </c>
      <c r="L366" s="147" t="s">
        <v>83</v>
      </c>
      <c r="M366" s="147" t="s">
        <v>1014</v>
      </c>
      <c r="N366" s="147" t="s">
        <v>91</v>
      </c>
      <c r="O366" s="147" t="s">
        <v>91</v>
      </c>
      <c r="P366" s="149" t="s">
        <v>91</v>
      </c>
      <c r="Q366" s="147">
        <v>11.2</v>
      </c>
      <c r="R366" s="148" t="s">
        <v>72</v>
      </c>
      <c r="S366" s="148" t="s">
        <v>73</v>
      </c>
      <c r="T366" s="148" t="s">
        <v>74</v>
      </c>
      <c r="U366" s="197">
        <v>116588180</v>
      </c>
      <c r="V366" s="148">
        <v>116588180</v>
      </c>
      <c r="W366" s="148" t="s">
        <v>75</v>
      </c>
      <c r="X366" s="147" t="s">
        <v>67</v>
      </c>
      <c r="Y366" s="148" t="s">
        <v>965</v>
      </c>
      <c r="Z366" s="148" t="s">
        <v>966</v>
      </c>
      <c r="AA366" s="147">
        <v>6012220601</v>
      </c>
      <c r="AB366" s="196" t="s">
        <v>967</v>
      </c>
      <c r="AC366" s="14">
        <v>117977260</v>
      </c>
      <c r="AD366" s="14"/>
      <c r="AE366" s="14"/>
      <c r="AF366" s="14">
        <v>1389080</v>
      </c>
      <c r="AG366" s="14">
        <v>-1389080</v>
      </c>
      <c r="AH366" s="14">
        <v>10418100</v>
      </c>
      <c r="AI366" s="14"/>
      <c r="AJ366" s="14">
        <v>10418100</v>
      </c>
      <c r="AK366" s="14"/>
      <c r="AL366" s="14">
        <v>10418100</v>
      </c>
      <c r="AM366" s="14"/>
      <c r="AN366" s="14">
        <v>10418100</v>
      </c>
      <c r="AO366" s="14"/>
      <c r="AP366" s="14">
        <v>10418100</v>
      </c>
      <c r="AQ366" s="14"/>
      <c r="AR366" s="14">
        <v>10418100</v>
      </c>
      <c r="AS366" s="14"/>
      <c r="AT366" s="14">
        <v>10418100</v>
      </c>
      <c r="AU366" s="25"/>
      <c r="AV366" s="14">
        <v>10418100</v>
      </c>
      <c r="AW366" s="25"/>
      <c r="AX366" s="25">
        <v>10418100</v>
      </c>
      <c r="AY366" s="25"/>
      <c r="AZ366" s="28">
        <v>21436200</v>
      </c>
      <c r="BA366" s="17"/>
      <c r="BB366" s="17"/>
      <c r="BC366" s="18">
        <f t="shared" si="251"/>
        <v>116588180</v>
      </c>
      <c r="BD366" s="18">
        <f t="shared" si="252"/>
        <v>116588180</v>
      </c>
      <c r="BE366" s="19">
        <f t="shared" si="253"/>
        <v>0</v>
      </c>
      <c r="BF366" s="20">
        <f t="shared" si="254"/>
        <v>0</v>
      </c>
      <c r="BG366" s="20">
        <f t="shared" si="255"/>
        <v>0</v>
      </c>
    </row>
    <row r="367" spans="1:59" ht="14.25" customHeight="1">
      <c r="A367" s="147" t="s">
        <v>59</v>
      </c>
      <c r="B367" s="147" t="s">
        <v>958</v>
      </c>
      <c r="C367" s="151" t="s">
        <v>959</v>
      </c>
      <c r="D367" s="151" t="s">
        <v>62</v>
      </c>
      <c r="E367" s="151">
        <v>39</v>
      </c>
      <c r="F367" s="149" t="s">
        <v>1015</v>
      </c>
      <c r="G367" s="147" t="s">
        <v>1003</v>
      </c>
      <c r="H367" s="147" t="s">
        <v>1004</v>
      </c>
      <c r="I367" s="147" t="s">
        <v>288</v>
      </c>
      <c r="J367" s="164">
        <v>80111620</v>
      </c>
      <c r="K367" s="147" t="s">
        <v>1005</v>
      </c>
      <c r="L367" s="147" t="s">
        <v>83</v>
      </c>
      <c r="M367" s="147" t="s">
        <v>1016</v>
      </c>
      <c r="N367" s="147" t="s">
        <v>128</v>
      </c>
      <c r="O367" s="147" t="s">
        <v>128</v>
      </c>
      <c r="P367" s="147" t="s">
        <v>128</v>
      </c>
      <c r="Q367" s="147">
        <v>7</v>
      </c>
      <c r="R367" s="148" t="s">
        <v>72</v>
      </c>
      <c r="S367" s="148" t="s">
        <v>73</v>
      </c>
      <c r="T367" s="147" t="s">
        <v>74</v>
      </c>
      <c r="U367" s="197">
        <v>64244950</v>
      </c>
      <c r="V367" s="148">
        <v>64244950</v>
      </c>
      <c r="W367" s="147" t="s">
        <v>75</v>
      </c>
      <c r="X367" s="148" t="s">
        <v>67</v>
      </c>
      <c r="Y367" s="147" t="s">
        <v>965</v>
      </c>
      <c r="Z367" s="147" t="s">
        <v>966</v>
      </c>
      <c r="AA367" s="147">
        <v>6012220601</v>
      </c>
      <c r="AB367" s="160" t="s">
        <v>967</v>
      </c>
      <c r="AC367" s="14"/>
      <c r="AD367" s="14"/>
      <c r="AE367" s="14"/>
      <c r="AF367" s="14"/>
      <c r="AG367" s="14"/>
      <c r="AH367" s="14"/>
      <c r="AI367" s="14"/>
      <c r="AJ367" s="14"/>
      <c r="AK367" s="14"/>
      <c r="AL367" s="14"/>
      <c r="AM367" s="14">
        <v>66675840</v>
      </c>
      <c r="AN367" s="14"/>
      <c r="AO367" s="14">
        <v>-2430890</v>
      </c>
      <c r="AP367" s="14">
        <v>1736350</v>
      </c>
      <c r="AQ367" s="14"/>
      <c r="AR367" s="14">
        <v>10418100</v>
      </c>
      <c r="AS367" s="14"/>
      <c r="AT367" s="14">
        <v>10418100</v>
      </c>
      <c r="AU367" s="25"/>
      <c r="AV367" s="25">
        <v>10418100</v>
      </c>
      <c r="AW367" s="25"/>
      <c r="AX367" s="25">
        <v>10418100</v>
      </c>
      <c r="AY367" s="25"/>
      <c r="AZ367" s="28">
        <v>20836200</v>
      </c>
      <c r="BA367" s="17"/>
      <c r="BB367" s="17"/>
      <c r="BC367" s="18">
        <f t="shared" si="251"/>
        <v>64244950</v>
      </c>
      <c r="BD367" s="18">
        <f t="shared" si="252"/>
        <v>64244950</v>
      </c>
      <c r="BE367" s="19">
        <f t="shared" si="253"/>
        <v>0</v>
      </c>
      <c r="BF367" s="20">
        <f t="shared" si="254"/>
        <v>0</v>
      </c>
      <c r="BG367" s="20">
        <f t="shared" si="255"/>
        <v>0</v>
      </c>
    </row>
    <row r="368" spans="1:59" ht="14.25" customHeight="1">
      <c r="A368" s="147" t="s">
        <v>59</v>
      </c>
      <c r="B368" s="147" t="s">
        <v>958</v>
      </c>
      <c r="C368" s="151" t="s">
        <v>959</v>
      </c>
      <c r="D368" s="151" t="s">
        <v>62</v>
      </c>
      <c r="E368" s="151">
        <v>44</v>
      </c>
      <c r="F368" s="149" t="s">
        <v>1017</v>
      </c>
      <c r="G368" s="147" t="s">
        <v>1003</v>
      </c>
      <c r="H368" s="147" t="s">
        <v>1004</v>
      </c>
      <c r="I368" s="147" t="s">
        <v>288</v>
      </c>
      <c r="J368" s="173">
        <v>78111502</v>
      </c>
      <c r="K368" s="147" t="s">
        <v>1005</v>
      </c>
      <c r="L368" s="147" t="s">
        <v>562</v>
      </c>
      <c r="M368" s="149" t="s">
        <v>1018</v>
      </c>
      <c r="N368" s="149" t="s">
        <v>127</v>
      </c>
      <c r="O368" s="149" t="s">
        <v>127</v>
      </c>
      <c r="P368" s="147" t="s">
        <v>128</v>
      </c>
      <c r="Q368" s="149">
        <v>8</v>
      </c>
      <c r="R368" s="148" t="s">
        <v>72</v>
      </c>
      <c r="S368" s="147" t="s">
        <v>536</v>
      </c>
      <c r="T368" s="147" t="s">
        <v>74</v>
      </c>
      <c r="U368" s="197">
        <v>30899620</v>
      </c>
      <c r="V368" s="148">
        <v>30899620</v>
      </c>
      <c r="W368" s="147" t="s">
        <v>75</v>
      </c>
      <c r="X368" s="147" t="s">
        <v>67</v>
      </c>
      <c r="Y368" s="147" t="s">
        <v>965</v>
      </c>
      <c r="Z368" s="147" t="s">
        <v>966</v>
      </c>
      <c r="AA368" s="147">
        <v>6012220601</v>
      </c>
      <c r="AB368" s="196" t="s">
        <v>967</v>
      </c>
      <c r="AC368" s="10"/>
      <c r="AD368" s="10"/>
      <c r="AE368" s="10"/>
      <c r="AF368" s="10"/>
      <c r="AG368" s="10"/>
      <c r="AH368" s="10"/>
      <c r="AI368" s="10"/>
      <c r="AJ368" s="10"/>
      <c r="AK368" s="10"/>
      <c r="AL368" s="10"/>
      <c r="AM368" s="56">
        <v>30899620</v>
      </c>
      <c r="AN368" s="10"/>
      <c r="AO368" s="10"/>
      <c r="AP368" s="10"/>
      <c r="AQ368" s="10"/>
      <c r="AR368" s="51">
        <v>8860716</v>
      </c>
      <c r="AS368" s="10"/>
      <c r="AT368" s="10"/>
      <c r="AU368" s="46"/>
      <c r="AV368" s="48">
        <v>4259436</v>
      </c>
      <c r="AW368" s="46"/>
      <c r="AX368" s="48">
        <v>4200000</v>
      </c>
      <c r="AY368" s="46"/>
      <c r="AZ368" s="77">
        <v>13579468</v>
      </c>
      <c r="BA368" s="17"/>
      <c r="BB368" s="17"/>
      <c r="BC368" s="18">
        <f t="shared" si="251"/>
        <v>30899620</v>
      </c>
      <c r="BD368" s="18">
        <f t="shared" si="252"/>
        <v>30899620</v>
      </c>
      <c r="BE368" s="19">
        <f t="shared" si="253"/>
        <v>0</v>
      </c>
      <c r="BF368" s="20">
        <f t="shared" si="254"/>
        <v>0</v>
      </c>
      <c r="BG368" s="20">
        <f t="shared" si="255"/>
        <v>0</v>
      </c>
    </row>
    <row r="369" spans="1:59" ht="14.25" customHeight="1">
      <c r="A369" s="147" t="s">
        <v>59</v>
      </c>
      <c r="B369" s="147" t="s">
        <v>958</v>
      </c>
      <c r="C369" s="151" t="s">
        <v>959</v>
      </c>
      <c r="D369" s="151" t="s">
        <v>62</v>
      </c>
      <c r="E369" s="151">
        <v>26</v>
      </c>
      <c r="F369" s="149" t="s">
        <v>1019</v>
      </c>
      <c r="G369" s="147" t="s">
        <v>1003</v>
      </c>
      <c r="H369" s="147" t="s">
        <v>1004</v>
      </c>
      <c r="I369" s="147" t="s">
        <v>288</v>
      </c>
      <c r="J369" s="173">
        <v>80111620</v>
      </c>
      <c r="K369" s="147" t="s">
        <v>1005</v>
      </c>
      <c r="L369" s="147" t="s">
        <v>83</v>
      </c>
      <c r="M369" s="149" t="s">
        <v>1020</v>
      </c>
      <c r="N369" s="149" t="s">
        <v>85</v>
      </c>
      <c r="O369" s="149" t="s">
        <v>85</v>
      </c>
      <c r="P369" s="149" t="s">
        <v>85</v>
      </c>
      <c r="Q369" s="149">
        <v>11</v>
      </c>
      <c r="R369" s="148" t="s">
        <v>72</v>
      </c>
      <c r="S369" s="147" t="s">
        <v>73</v>
      </c>
      <c r="T369" s="147" t="s">
        <v>74</v>
      </c>
      <c r="U369" s="197">
        <v>6992254</v>
      </c>
      <c r="V369" s="148">
        <v>6992254</v>
      </c>
      <c r="W369" s="147" t="s">
        <v>75</v>
      </c>
      <c r="X369" s="148" t="s">
        <v>67</v>
      </c>
      <c r="Y369" s="147" t="s">
        <v>965</v>
      </c>
      <c r="Z369" s="147" t="s">
        <v>966</v>
      </c>
      <c r="AA369" s="147">
        <v>6012220601</v>
      </c>
      <c r="AB369" s="160" t="s">
        <v>967</v>
      </c>
      <c r="AC369" s="10"/>
      <c r="AD369" s="10"/>
      <c r="AE369" s="51">
        <v>5640000</v>
      </c>
      <c r="AF369" s="10"/>
      <c r="AG369" s="10"/>
      <c r="AH369" s="52">
        <v>512727</v>
      </c>
      <c r="AI369" s="10"/>
      <c r="AJ369" s="51">
        <v>1098701</v>
      </c>
      <c r="AK369" s="10"/>
      <c r="AL369" s="52">
        <v>1098701</v>
      </c>
      <c r="AM369" s="10"/>
      <c r="AN369" s="51">
        <v>366234</v>
      </c>
      <c r="AO369" s="51">
        <v>1352254</v>
      </c>
      <c r="AP369" s="51">
        <v>366234</v>
      </c>
      <c r="AQ369" s="10"/>
      <c r="AR369" s="51">
        <v>3549657</v>
      </c>
      <c r="AS369" s="10"/>
      <c r="AT369" s="10"/>
      <c r="AU369" s="15"/>
      <c r="AV369" s="15"/>
      <c r="AW369" s="15"/>
      <c r="AX369" s="15"/>
      <c r="AY369" s="15"/>
      <c r="AZ369" s="15"/>
      <c r="BA369" s="17"/>
      <c r="BB369" s="17"/>
      <c r="BC369" s="18">
        <f t="shared" si="251"/>
        <v>6992254</v>
      </c>
      <c r="BD369" s="18">
        <f t="shared" si="252"/>
        <v>6992254</v>
      </c>
      <c r="BE369" s="19">
        <f t="shared" si="253"/>
        <v>0</v>
      </c>
      <c r="BF369" s="20">
        <f t="shared" si="254"/>
        <v>0</v>
      </c>
      <c r="BG369" s="20">
        <f t="shared" si="255"/>
        <v>0</v>
      </c>
    </row>
    <row r="370" spans="1:59" ht="14.25" customHeight="1">
      <c r="A370" s="147" t="s">
        <v>59</v>
      </c>
      <c r="B370" s="147" t="s">
        <v>958</v>
      </c>
      <c r="C370" s="151" t="s">
        <v>959</v>
      </c>
      <c r="D370" s="151" t="s">
        <v>62</v>
      </c>
      <c r="E370" s="151">
        <v>44</v>
      </c>
      <c r="F370" s="149" t="s">
        <v>1021</v>
      </c>
      <c r="G370" s="147" t="s">
        <v>1003</v>
      </c>
      <c r="H370" s="147" t="s">
        <v>1004</v>
      </c>
      <c r="I370" s="147" t="s">
        <v>288</v>
      </c>
      <c r="J370" s="173">
        <v>80111620</v>
      </c>
      <c r="K370" s="147" t="s">
        <v>1005</v>
      </c>
      <c r="L370" s="147" t="s">
        <v>83</v>
      </c>
      <c r="M370" s="149" t="s">
        <v>1022</v>
      </c>
      <c r="N370" s="149" t="s">
        <v>128</v>
      </c>
      <c r="O370" s="149" t="s">
        <v>128</v>
      </c>
      <c r="P370" s="149" t="s">
        <v>100</v>
      </c>
      <c r="Q370" s="149">
        <v>6.5</v>
      </c>
      <c r="R370" s="148" t="s">
        <v>72</v>
      </c>
      <c r="S370" s="147" t="s">
        <v>73</v>
      </c>
      <c r="T370" s="147" t="s">
        <v>74</v>
      </c>
      <c r="U370" s="197">
        <v>42325920</v>
      </c>
      <c r="V370" s="148">
        <v>42325920</v>
      </c>
      <c r="W370" s="147" t="s">
        <v>75</v>
      </c>
      <c r="X370" s="148" t="s">
        <v>67</v>
      </c>
      <c r="Y370" s="147" t="s">
        <v>1023</v>
      </c>
      <c r="Z370" s="147" t="s">
        <v>1024</v>
      </c>
      <c r="AA370" s="147">
        <v>6012220601</v>
      </c>
      <c r="AB370" s="160" t="s">
        <v>1025</v>
      </c>
      <c r="AC370" s="10"/>
      <c r="AD370" s="10"/>
      <c r="AE370" s="51"/>
      <c r="AF370" s="10"/>
      <c r="AG370" s="10"/>
      <c r="AH370" s="52"/>
      <c r="AI370" s="10"/>
      <c r="AJ370" s="51"/>
      <c r="AK370" s="10"/>
      <c r="AL370" s="52"/>
      <c r="AM370" s="10"/>
      <c r="AN370" s="10"/>
      <c r="AO370" s="51">
        <v>47338200</v>
      </c>
      <c r="AP370" s="10"/>
      <c r="AQ370" s="10"/>
      <c r="AR370" s="51">
        <v>556920</v>
      </c>
      <c r="AS370" s="52">
        <v>-5012280</v>
      </c>
      <c r="AT370" s="52">
        <v>8353800</v>
      </c>
      <c r="AU370" s="75"/>
      <c r="AV370" s="15">
        <v>8353800</v>
      </c>
      <c r="AW370" s="15"/>
      <c r="AX370" s="15">
        <v>8353800</v>
      </c>
      <c r="AY370" s="15"/>
      <c r="AZ370" s="15">
        <v>16707600</v>
      </c>
      <c r="BA370" s="17"/>
      <c r="BB370" s="17"/>
      <c r="BC370" s="18">
        <f t="shared" si="251"/>
        <v>42325920</v>
      </c>
      <c r="BD370" s="18">
        <f t="shared" si="252"/>
        <v>42325920</v>
      </c>
      <c r="BE370" s="19">
        <f t="shared" si="253"/>
        <v>0</v>
      </c>
      <c r="BF370" s="20">
        <f t="shared" si="254"/>
        <v>0</v>
      </c>
      <c r="BG370" s="20">
        <f t="shared" si="255"/>
        <v>0</v>
      </c>
    </row>
    <row r="371" spans="1:59" ht="14.25" customHeight="1">
      <c r="A371" s="147" t="s">
        <v>59</v>
      </c>
      <c r="B371" s="147" t="s">
        <v>958</v>
      </c>
      <c r="C371" s="151" t="s">
        <v>959</v>
      </c>
      <c r="D371" s="151" t="s">
        <v>62</v>
      </c>
      <c r="E371" s="151">
        <v>47</v>
      </c>
      <c r="F371" s="149" t="s">
        <v>1026</v>
      </c>
      <c r="G371" s="147" t="s">
        <v>1003</v>
      </c>
      <c r="H371" s="147" t="s">
        <v>1004</v>
      </c>
      <c r="I371" s="147" t="s">
        <v>288</v>
      </c>
      <c r="J371" s="173">
        <v>43233600</v>
      </c>
      <c r="K371" s="147" t="s">
        <v>1005</v>
      </c>
      <c r="L371" s="147" t="s">
        <v>333</v>
      </c>
      <c r="M371" s="149" t="s">
        <v>1027</v>
      </c>
      <c r="N371" s="149" t="s">
        <v>180</v>
      </c>
      <c r="O371" s="149" t="s">
        <v>180</v>
      </c>
      <c r="P371" s="149" t="s">
        <v>180</v>
      </c>
      <c r="Q371" s="149">
        <v>12</v>
      </c>
      <c r="R371" s="148" t="s">
        <v>72</v>
      </c>
      <c r="S371" s="147" t="s">
        <v>1028</v>
      </c>
      <c r="T371" s="147" t="s">
        <v>74</v>
      </c>
      <c r="U371" s="197">
        <v>32460948</v>
      </c>
      <c r="V371" s="148">
        <v>32460948</v>
      </c>
      <c r="W371" s="147" t="s">
        <v>75</v>
      </c>
      <c r="X371" s="148" t="s">
        <v>67</v>
      </c>
      <c r="Y371" s="147" t="s">
        <v>1023</v>
      </c>
      <c r="Z371" s="147" t="s">
        <v>1024</v>
      </c>
      <c r="AA371" s="147">
        <v>6012220601</v>
      </c>
      <c r="AB371" s="160" t="s">
        <v>1025</v>
      </c>
      <c r="AC371" s="10"/>
      <c r="AD371" s="10"/>
      <c r="AE371" s="51"/>
      <c r="AF371" s="10"/>
      <c r="AG371" s="10"/>
      <c r="AH371" s="52"/>
      <c r="AI371" s="10"/>
      <c r="AJ371" s="51"/>
      <c r="AK371" s="10"/>
      <c r="AL371" s="52"/>
      <c r="AM371" s="10"/>
      <c r="AN371" s="10"/>
      <c r="AO371" s="10"/>
      <c r="AP371" s="10"/>
      <c r="AQ371" s="10"/>
      <c r="AR371" s="10"/>
      <c r="AS371" s="10"/>
      <c r="AT371" s="10"/>
      <c r="AU371" s="15">
        <v>32460948</v>
      </c>
      <c r="AV371" s="15"/>
      <c r="AW371" s="15"/>
      <c r="AX371" s="15">
        <v>32460948</v>
      </c>
      <c r="AY371" s="15"/>
      <c r="AZ371" s="15"/>
      <c r="BA371" s="17"/>
      <c r="BB371" s="17"/>
      <c r="BC371" s="18">
        <f t="shared" si="251"/>
        <v>32460948</v>
      </c>
      <c r="BD371" s="18">
        <f t="shared" si="252"/>
        <v>32460948</v>
      </c>
      <c r="BE371" s="19">
        <f t="shared" si="253"/>
        <v>0</v>
      </c>
      <c r="BF371" s="20">
        <f t="shared" si="254"/>
        <v>0</v>
      </c>
      <c r="BG371" s="20">
        <f t="shared" si="255"/>
        <v>0</v>
      </c>
    </row>
    <row r="372" spans="1:59" ht="14.25" customHeight="1">
      <c r="A372" s="147" t="s">
        <v>59</v>
      </c>
      <c r="B372" s="147" t="s">
        <v>958</v>
      </c>
      <c r="C372" s="151" t="s">
        <v>959</v>
      </c>
      <c r="D372" s="151" t="s">
        <v>62</v>
      </c>
      <c r="E372" s="151">
        <v>44</v>
      </c>
      <c r="F372" s="149" t="s">
        <v>1029</v>
      </c>
      <c r="G372" s="147" t="s">
        <v>1003</v>
      </c>
      <c r="H372" s="147" t="s">
        <v>1004</v>
      </c>
      <c r="I372" s="147" t="s">
        <v>288</v>
      </c>
      <c r="J372" s="164">
        <v>80111620</v>
      </c>
      <c r="K372" s="147" t="s">
        <v>1005</v>
      </c>
      <c r="L372" s="147" t="s">
        <v>83</v>
      </c>
      <c r="M372" s="149" t="s">
        <v>1030</v>
      </c>
      <c r="N372" s="149" t="s">
        <v>142</v>
      </c>
      <c r="O372" s="149" t="s">
        <v>142</v>
      </c>
      <c r="P372" s="149" t="s">
        <v>142</v>
      </c>
      <c r="Q372" s="149">
        <v>4.5</v>
      </c>
      <c r="R372" s="148" t="s">
        <v>72</v>
      </c>
      <c r="S372" s="147" t="s">
        <v>73</v>
      </c>
      <c r="T372" s="147" t="s">
        <v>74</v>
      </c>
      <c r="U372" s="197">
        <v>0</v>
      </c>
      <c r="V372" s="148">
        <v>0</v>
      </c>
      <c r="W372" s="148" t="s">
        <v>1031</v>
      </c>
      <c r="X372" s="148" t="s">
        <v>67</v>
      </c>
      <c r="Y372" s="147" t="s">
        <v>1023</v>
      </c>
      <c r="Z372" s="147" t="s">
        <v>1024</v>
      </c>
      <c r="AA372" s="147">
        <v>6012220601</v>
      </c>
      <c r="AB372" s="160" t="s">
        <v>1025</v>
      </c>
      <c r="AC372" s="10"/>
      <c r="AD372" s="10"/>
      <c r="AE372" s="51"/>
      <c r="AF372" s="10"/>
      <c r="AG372" s="10"/>
      <c r="AH372" s="52"/>
      <c r="AI372" s="10"/>
      <c r="AJ372" s="51"/>
      <c r="AK372" s="10"/>
      <c r="AL372" s="52"/>
      <c r="AM372" s="10"/>
      <c r="AN372" s="10"/>
      <c r="AO372" s="10"/>
      <c r="AP372" s="10"/>
      <c r="AQ372" s="10"/>
      <c r="AR372" s="10"/>
      <c r="AS372" s="10"/>
      <c r="AT372" s="10"/>
      <c r="AU372" s="75"/>
      <c r="AV372" s="15"/>
      <c r="AW372" s="15"/>
      <c r="AX372" s="15"/>
      <c r="AY372" s="15"/>
      <c r="AZ372" s="15"/>
      <c r="BA372" s="17"/>
      <c r="BB372" s="17"/>
      <c r="BC372" s="18">
        <f t="shared" si="251"/>
        <v>0</v>
      </c>
      <c r="BD372" s="18">
        <f t="shared" si="252"/>
        <v>0</v>
      </c>
      <c r="BE372" s="19">
        <f t="shared" si="253"/>
        <v>0</v>
      </c>
      <c r="BF372" s="20">
        <f t="shared" si="254"/>
        <v>0</v>
      </c>
      <c r="BG372" s="20">
        <f t="shared" si="255"/>
        <v>0</v>
      </c>
    </row>
    <row r="373" spans="1:59" ht="14.25" customHeight="1">
      <c r="A373" s="147" t="s">
        <v>59</v>
      </c>
      <c r="B373" s="147" t="s">
        <v>958</v>
      </c>
      <c r="C373" s="151" t="s">
        <v>959</v>
      </c>
      <c r="D373" s="151" t="s">
        <v>62</v>
      </c>
      <c r="E373" s="151">
        <v>37</v>
      </c>
      <c r="F373" s="149" t="s">
        <v>1032</v>
      </c>
      <c r="G373" s="147" t="s">
        <v>1003</v>
      </c>
      <c r="H373" s="147" t="s">
        <v>1004</v>
      </c>
      <c r="I373" s="147" t="s">
        <v>288</v>
      </c>
      <c r="J373" s="164">
        <v>80111620</v>
      </c>
      <c r="K373" s="147" t="s">
        <v>1005</v>
      </c>
      <c r="L373" s="147" t="s">
        <v>83</v>
      </c>
      <c r="M373" s="149" t="s">
        <v>1033</v>
      </c>
      <c r="N373" s="149" t="s">
        <v>142</v>
      </c>
      <c r="O373" s="149" t="s">
        <v>142</v>
      </c>
      <c r="P373" s="149" t="s">
        <v>142</v>
      </c>
      <c r="Q373" s="149">
        <v>4.5</v>
      </c>
      <c r="R373" s="148" t="s">
        <v>72</v>
      </c>
      <c r="S373" s="147" t="s">
        <v>1028</v>
      </c>
      <c r="T373" s="147" t="s">
        <v>74</v>
      </c>
      <c r="U373" s="197">
        <v>20900000</v>
      </c>
      <c r="V373" s="148">
        <v>20900000</v>
      </c>
      <c r="W373" s="148" t="s">
        <v>75</v>
      </c>
      <c r="X373" s="148" t="s">
        <v>67</v>
      </c>
      <c r="Y373" s="147" t="s">
        <v>1023</v>
      </c>
      <c r="Z373" s="147" t="s">
        <v>1024</v>
      </c>
      <c r="AA373" s="147">
        <v>6012220601</v>
      </c>
      <c r="AB373" s="160" t="s">
        <v>1025</v>
      </c>
      <c r="AC373" s="10"/>
      <c r="AD373" s="10"/>
      <c r="AE373" s="51"/>
      <c r="AF373" s="10"/>
      <c r="AG373" s="10"/>
      <c r="AH373" s="52"/>
      <c r="AI373" s="10"/>
      <c r="AJ373" s="51"/>
      <c r="AK373" s="10"/>
      <c r="AL373" s="52"/>
      <c r="AM373" s="10"/>
      <c r="AN373" s="10"/>
      <c r="AO373" s="10"/>
      <c r="AP373" s="10"/>
      <c r="AQ373" s="10"/>
      <c r="AR373" s="10"/>
      <c r="AS373" s="52">
        <v>20900000</v>
      </c>
      <c r="AT373" s="10"/>
      <c r="AU373" s="15"/>
      <c r="AV373" s="15">
        <v>7900000</v>
      </c>
      <c r="AW373" s="15"/>
      <c r="AX373" s="15">
        <v>6500000</v>
      </c>
      <c r="AY373" s="15"/>
      <c r="AZ373" s="15">
        <v>6500000</v>
      </c>
      <c r="BA373" s="17"/>
      <c r="BB373" s="17"/>
      <c r="BC373" s="18">
        <f t="shared" si="251"/>
        <v>20900000</v>
      </c>
      <c r="BD373" s="18">
        <f t="shared" si="252"/>
        <v>20900000</v>
      </c>
      <c r="BE373" s="19">
        <f t="shared" si="253"/>
        <v>0</v>
      </c>
      <c r="BF373" s="20">
        <f t="shared" si="254"/>
        <v>0</v>
      </c>
      <c r="BG373" s="20">
        <f t="shared" si="255"/>
        <v>0</v>
      </c>
    </row>
    <row r="374" spans="1:59" ht="14.25" customHeight="1">
      <c r="A374" s="147" t="s">
        <v>59</v>
      </c>
      <c r="B374" s="147" t="s">
        <v>958</v>
      </c>
      <c r="C374" s="151" t="s">
        <v>959</v>
      </c>
      <c r="D374" s="151" t="s">
        <v>62</v>
      </c>
      <c r="E374" s="151">
        <v>30</v>
      </c>
      <c r="F374" s="149" t="s">
        <v>1034</v>
      </c>
      <c r="G374" s="147" t="s">
        <v>1003</v>
      </c>
      <c r="H374" s="147" t="s">
        <v>1004</v>
      </c>
      <c r="I374" s="147" t="s">
        <v>288</v>
      </c>
      <c r="J374" s="199" t="s">
        <v>1035</v>
      </c>
      <c r="K374" s="147" t="s">
        <v>1005</v>
      </c>
      <c r="L374" s="147" t="s">
        <v>333</v>
      </c>
      <c r="M374" s="149" t="s">
        <v>1036</v>
      </c>
      <c r="N374" s="149" t="s">
        <v>100</v>
      </c>
      <c r="O374" s="149" t="s">
        <v>142</v>
      </c>
      <c r="P374" s="149" t="s">
        <v>71</v>
      </c>
      <c r="Q374" s="149">
        <v>12</v>
      </c>
      <c r="R374" s="148" t="s">
        <v>72</v>
      </c>
      <c r="S374" s="147" t="s">
        <v>143</v>
      </c>
      <c r="T374" s="147" t="s">
        <v>74</v>
      </c>
      <c r="U374" s="197">
        <v>19967317</v>
      </c>
      <c r="V374" s="148">
        <v>19967317</v>
      </c>
      <c r="W374" s="148" t="s">
        <v>75</v>
      </c>
      <c r="X374" s="148" t="s">
        <v>67</v>
      </c>
      <c r="Y374" s="147" t="s">
        <v>1023</v>
      </c>
      <c r="Z374" s="147" t="s">
        <v>1024</v>
      </c>
      <c r="AA374" s="147">
        <v>6012220601</v>
      </c>
      <c r="AB374" s="160" t="s">
        <v>1025</v>
      </c>
      <c r="AC374" s="10"/>
      <c r="AD374" s="10"/>
      <c r="AE374" s="51"/>
      <c r="AF374" s="10"/>
      <c r="AG374" s="10"/>
      <c r="AH374" s="52"/>
      <c r="AI374" s="10"/>
      <c r="AJ374" s="51"/>
      <c r="AK374" s="10"/>
      <c r="AL374" s="52"/>
      <c r="AM374" s="10"/>
      <c r="AN374" s="10"/>
      <c r="AO374" s="10"/>
      <c r="AP374" s="10"/>
      <c r="AQ374" s="10"/>
      <c r="AR374" s="10"/>
      <c r="AS374" s="10"/>
      <c r="AT374" s="10"/>
      <c r="AU374" s="15">
        <v>19967317</v>
      </c>
      <c r="AV374" s="15"/>
      <c r="AW374" s="15"/>
      <c r="AX374" s="15"/>
      <c r="AY374" s="15"/>
      <c r="AZ374" s="15">
        <v>19967317</v>
      </c>
      <c r="BA374" s="17"/>
      <c r="BB374" s="17"/>
      <c r="BC374" s="18">
        <f t="shared" si="251"/>
        <v>19967317</v>
      </c>
      <c r="BD374" s="18">
        <f t="shared" si="252"/>
        <v>19967317</v>
      </c>
      <c r="BE374" s="19">
        <f t="shared" si="253"/>
        <v>0</v>
      </c>
      <c r="BF374" s="20">
        <f t="shared" si="254"/>
        <v>0</v>
      </c>
      <c r="BG374" s="20">
        <f t="shared" si="255"/>
        <v>0</v>
      </c>
    </row>
    <row r="375" spans="1:59" ht="14.25" customHeight="1">
      <c r="A375" s="147" t="s">
        <v>59</v>
      </c>
      <c r="B375" s="147" t="s">
        <v>958</v>
      </c>
      <c r="C375" s="151" t="s">
        <v>959</v>
      </c>
      <c r="D375" s="151" t="s">
        <v>62</v>
      </c>
      <c r="E375" s="151">
        <v>44</v>
      </c>
      <c r="F375" s="149" t="s">
        <v>1037</v>
      </c>
      <c r="G375" s="147" t="s">
        <v>1003</v>
      </c>
      <c r="H375" s="147" t="s">
        <v>1004</v>
      </c>
      <c r="I375" s="147" t="s">
        <v>288</v>
      </c>
      <c r="J375" s="164">
        <v>80111620</v>
      </c>
      <c r="K375" s="147" t="s">
        <v>1005</v>
      </c>
      <c r="L375" s="147" t="s">
        <v>83</v>
      </c>
      <c r="M375" s="149" t="s">
        <v>1038</v>
      </c>
      <c r="N375" s="149" t="s">
        <v>142</v>
      </c>
      <c r="O375" s="149" t="s">
        <v>142</v>
      </c>
      <c r="P375" s="165" t="s">
        <v>71</v>
      </c>
      <c r="Q375" s="149">
        <v>3.5</v>
      </c>
      <c r="R375" s="148" t="s">
        <v>72</v>
      </c>
      <c r="S375" s="147" t="s">
        <v>73</v>
      </c>
      <c r="T375" s="147" t="s">
        <v>74</v>
      </c>
      <c r="U375" s="197">
        <v>43408750</v>
      </c>
      <c r="V375" s="148">
        <v>43408750</v>
      </c>
      <c r="W375" s="148" t="s">
        <v>75</v>
      </c>
      <c r="X375" s="148" t="s">
        <v>67</v>
      </c>
      <c r="Y375" s="147" t="s">
        <v>1039</v>
      </c>
      <c r="Z375" s="147" t="s">
        <v>966</v>
      </c>
      <c r="AA375" s="147">
        <v>6012220601</v>
      </c>
      <c r="AB375" s="160" t="s">
        <v>1040</v>
      </c>
      <c r="AC375" s="10"/>
      <c r="AD375" s="10"/>
      <c r="AE375" s="51"/>
      <c r="AF375" s="10"/>
      <c r="AG375" s="10"/>
      <c r="AH375" s="52"/>
      <c r="AI375" s="10"/>
      <c r="AJ375" s="51"/>
      <c r="AK375" s="10"/>
      <c r="AL375" s="52"/>
      <c r="AM375" s="10"/>
      <c r="AN375" s="10"/>
      <c r="AO375" s="10"/>
      <c r="AP375" s="10"/>
      <c r="AQ375" s="10"/>
      <c r="AR375" s="10"/>
      <c r="AS375" s="52">
        <v>43408750</v>
      </c>
      <c r="AT375" s="10"/>
      <c r="AU375" s="15"/>
      <c r="AV375" s="15">
        <v>5556320</v>
      </c>
      <c r="AW375" s="15"/>
      <c r="AX375" s="15">
        <v>10418100</v>
      </c>
      <c r="AY375" s="15"/>
      <c r="AZ375" s="15">
        <v>20836200</v>
      </c>
      <c r="BA375" s="33"/>
      <c r="BB375" s="33">
        <v>6598130</v>
      </c>
      <c r="BC375" s="18">
        <f t="shared" si="251"/>
        <v>43408750</v>
      </c>
      <c r="BD375" s="18">
        <f t="shared" si="252"/>
        <v>43408750</v>
      </c>
      <c r="BE375" s="19">
        <f t="shared" si="253"/>
        <v>0</v>
      </c>
      <c r="BF375" s="20">
        <f t="shared" si="254"/>
        <v>0</v>
      </c>
      <c r="BG375" s="20">
        <f t="shared" si="255"/>
        <v>0</v>
      </c>
    </row>
    <row r="376" spans="1:59" ht="14.25" customHeight="1">
      <c r="A376" s="147" t="s">
        <v>59</v>
      </c>
      <c r="B376" s="147" t="s">
        <v>958</v>
      </c>
      <c r="C376" s="151" t="s">
        <v>959</v>
      </c>
      <c r="D376" s="151" t="s">
        <v>62</v>
      </c>
      <c r="E376" s="151">
        <v>44</v>
      </c>
      <c r="F376" s="149" t="s">
        <v>1041</v>
      </c>
      <c r="G376" s="147" t="s">
        <v>961</v>
      </c>
      <c r="H376" s="147" t="s">
        <v>962</v>
      </c>
      <c r="I376" s="147" t="s">
        <v>737</v>
      </c>
      <c r="J376" s="164">
        <v>80111620</v>
      </c>
      <c r="K376" s="147" t="s">
        <v>963</v>
      </c>
      <c r="L376" s="147" t="s">
        <v>83</v>
      </c>
      <c r="M376" s="149" t="s">
        <v>1042</v>
      </c>
      <c r="N376" s="149" t="s">
        <v>142</v>
      </c>
      <c r="O376" s="149" t="s">
        <v>142</v>
      </c>
      <c r="P376" s="149" t="s">
        <v>71</v>
      </c>
      <c r="Q376" s="149">
        <v>4</v>
      </c>
      <c r="R376" s="148" t="s">
        <v>72</v>
      </c>
      <c r="S376" s="147" t="s">
        <v>73</v>
      </c>
      <c r="T376" s="147" t="s">
        <v>74</v>
      </c>
      <c r="U376" s="197">
        <v>44166150</v>
      </c>
      <c r="V376" s="148">
        <v>44166150</v>
      </c>
      <c r="W376" s="148" t="s">
        <v>75</v>
      </c>
      <c r="X376" s="148" t="s">
        <v>67</v>
      </c>
      <c r="Y376" s="147" t="s">
        <v>1039</v>
      </c>
      <c r="Z376" s="147" t="s">
        <v>966</v>
      </c>
      <c r="AA376" s="147">
        <v>6012220601</v>
      </c>
      <c r="AB376" s="160" t="s">
        <v>1040</v>
      </c>
      <c r="AC376" s="10"/>
      <c r="AD376" s="10"/>
      <c r="AE376" s="51"/>
      <c r="AF376" s="10"/>
      <c r="AG376" s="10"/>
      <c r="AH376" s="52"/>
      <c r="AI376" s="10"/>
      <c r="AJ376" s="51"/>
      <c r="AK376" s="10"/>
      <c r="AL376" s="52"/>
      <c r="AM376" s="10"/>
      <c r="AN376" s="10"/>
      <c r="AO376" s="10"/>
      <c r="AP376" s="10"/>
      <c r="AQ376" s="10"/>
      <c r="AR376" s="10"/>
      <c r="AS376" s="10"/>
      <c r="AT376" s="10"/>
      <c r="AU376" s="15">
        <v>34912290</v>
      </c>
      <c r="AV376" s="15"/>
      <c r="AW376" s="15"/>
      <c r="AX376" s="15">
        <v>9674490</v>
      </c>
      <c r="AY376" s="15"/>
      <c r="AZ376" s="15">
        <v>25237800</v>
      </c>
      <c r="BA376" s="33">
        <v>9253860</v>
      </c>
      <c r="BB376" s="33">
        <v>9253860</v>
      </c>
      <c r="BC376" s="18">
        <f t="shared" si="251"/>
        <v>44166150</v>
      </c>
      <c r="BD376" s="18">
        <f t="shared" si="252"/>
        <v>44166150</v>
      </c>
      <c r="BE376" s="19">
        <f t="shared" si="253"/>
        <v>0</v>
      </c>
      <c r="BF376" s="20">
        <f t="shared" si="254"/>
        <v>0</v>
      </c>
      <c r="BG376" s="20">
        <f t="shared" si="255"/>
        <v>0</v>
      </c>
    </row>
    <row r="377" spans="1:59" ht="14.25" customHeight="1">
      <c r="A377" s="147" t="s">
        <v>59</v>
      </c>
      <c r="B377" s="147" t="s">
        <v>958</v>
      </c>
      <c r="C377" s="151" t="s">
        <v>959</v>
      </c>
      <c r="D377" s="151" t="s">
        <v>62</v>
      </c>
      <c r="E377" s="151">
        <v>44</v>
      </c>
      <c r="F377" s="149" t="s">
        <v>1043</v>
      </c>
      <c r="G377" s="147" t="s">
        <v>961</v>
      </c>
      <c r="H377" s="147" t="s">
        <v>962</v>
      </c>
      <c r="I377" s="147" t="s">
        <v>737</v>
      </c>
      <c r="J377" s="164">
        <v>80111620</v>
      </c>
      <c r="K377" s="147" t="s">
        <v>963</v>
      </c>
      <c r="L377" s="147" t="s">
        <v>83</v>
      </c>
      <c r="M377" s="149" t="s">
        <v>1044</v>
      </c>
      <c r="N377" s="149" t="s">
        <v>142</v>
      </c>
      <c r="O377" s="149" t="s">
        <v>142</v>
      </c>
      <c r="P377" s="149" t="s">
        <v>71</v>
      </c>
      <c r="Q377" s="149">
        <v>4</v>
      </c>
      <c r="R377" s="148" t="s">
        <v>72</v>
      </c>
      <c r="S377" s="147" t="s">
        <v>73</v>
      </c>
      <c r="T377" s="147" t="s">
        <v>74</v>
      </c>
      <c r="U377" s="197">
        <v>36463350</v>
      </c>
      <c r="V377" s="148">
        <v>36463350</v>
      </c>
      <c r="W377" s="148" t="s">
        <v>75</v>
      </c>
      <c r="X377" s="148" t="s">
        <v>67</v>
      </c>
      <c r="Y377" s="147" t="s">
        <v>1039</v>
      </c>
      <c r="Z377" s="147" t="s">
        <v>966</v>
      </c>
      <c r="AA377" s="147">
        <v>6012220601</v>
      </c>
      <c r="AB377" s="160" t="s">
        <v>1040</v>
      </c>
      <c r="AC377" s="10"/>
      <c r="AD377" s="10"/>
      <c r="AE377" s="51"/>
      <c r="AF377" s="10"/>
      <c r="AG377" s="10"/>
      <c r="AH377" s="52"/>
      <c r="AI377" s="10"/>
      <c r="AJ377" s="51"/>
      <c r="AK377" s="10"/>
      <c r="AL377" s="52"/>
      <c r="AM377" s="10"/>
      <c r="AN377" s="10"/>
      <c r="AO377" s="10"/>
      <c r="AP377" s="10"/>
      <c r="AQ377" s="10"/>
      <c r="AR377" s="10"/>
      <c r="AS377" s="51">
        <v>32990650</v>
      </c>
      <c r="AT377" s="10"/>
      <c r="AU377" s="15">
        <v>347270</v>
      </c>
      <c r="AV377" s="15"/>
      <c r="AW377" s="15"/>
      <c r="AX377" s="15">
        <v>10418100</v>
      </c>
      <c r="AY377" s="15"/>
      <c r="AZ377" s="15">
        <v>20836200</v>
      </c>
      <c r="BA377" s="33">
        <v>3125430</v>
      </c>
      <c r="BB377" s="33">
        <v>5209050</v>
      </c>
      <c r="BC377" s="18">
        <f t="shared" si="251"/>
        <v>36463350</v>
      </c>
      <c r="BD377" s="18">
        <f t="shared" si="252"/>
        <v>36463350</v>
      </c>
      <c r="BE377" s="19">
        <f t="shared" si="253"/>
        <v>0</v>
      </c>
      <c r="BF377" s="20">
        <f t="shared" si="254"/>
        <v>0</v>
      </c>
      <c r="BG377" s="20">
        <f t="shared" si="255"/>
        <v>0</v>
      </c>
    </row>
    <row r="378" spans="1:59" ht="14.25" customHeight="1">
      <c r="A378" s="147" t="s">
        <v>59</v>
      </c>
      <c r="B378" s="147" t="s">
        <v>958</v>
      </c>
      <c r="C378" s="151" t="s">
        <v>959</v>
      </c>
      <c r="D378" s="151" t="s">
        <v>62</v>
      </c>
      <c r="E378" s="151">
        <v>44</v>
      </c>
      <c r="F378" s="149" t="s">
        <v>1045</v>
      </c>
      <c r="G378" s="147" t="s">
        <v>961</v>
      </c>
      <c r="H378" s="147" t="s">
        <v>962</v>
      </c>
      <c r="I378" s="147" t="s">
        <v>737</v>
      </c>
      <c r="J378" s="164">
        <v>80111620</v>
      </c>
      <c r="K378" s="147" t="s">
        <v>963</v>
      </c>
      <c r="L378" s="147" t="s">
        <v>83</v>
      </c>
      <c r="M378" s="149" t="s">
        <v>1046</v>
      </c>
      <c r="N378" s="149" t="s">
        <v>142</v>
      </c>
      <c r="O378" s="149" t="s">
        <v>142</v>
      </c>
      <c r="P378" s="149" t="s">
        <v>71</v>
      </c>
      <c r="Q378" s="149">
        <v>4</v>
      </c>
      <c r="R378" s="148" t="s">
        <v>72</v>
      </c>
      <c r="S378" s="147" t="s">
        <v>73</v>
      </c>
      <c r="T378" s="147" t="s">
        <v>74</v>
      </c>
      <c r="U378" s="197">
        <v>14795550</v>
      </c>
      <c r="V378" s="148">
        <v>14795550</v>
      </c>
      <c r="W378" s="148" t="s">
        <v>75</v>
      </c>
      <c r="X378" s="148" t="s">
        <v>67</v>
      </c>
      <c r="Y378" s="147" t="s">
        <v>1039</v>
      </c>
      <c r="Z378" s="147" t="s">
        <v>966</v>
      </c>
      <c r="AA378" s="147">
        <v>6012220601</v>
      </c>
      <c r="AB378" s="160" t="s">
        <v>1040</v>
      </c>
      <c r="AC378" s="10"/>
      <c r="AD378" s="10"/>
      <c r="AE378" s="51"/>
      <c r="AF378" s="10"/>
      <c r="AG378" s="10"/>
      <c r="AH378" s="52"/>
      <c r="AI378" s="10"/>
      <c r="AJ378" s="51"/>
      <c r="AK378" s="10"/>
      <c r="AL378" s="52"/>
      <c r="AM378" s="10"/>
      <c r="AN378" s="10"/>
      <c r="AO378" s="10"/>
      <c r="AP378" s="10"/>
      <c r="AQ378" s="10"/>
      <c r="AR378" s="10"/>
      <c r="AS378" s="10"/>
      <c r="AT378" s="10"/>
      <c r="AU378" s="15">
        <v>10045490</v>
      </c>
      <c r="AV378" s="15"/>
      <c r="AW378" s="15"/>
      <c r="AX378" s="15">
        <v>2783690</v>
      </c>
      <c r="AY378" s="15"/>
      <c r="AZ378" s="15">
        <v>7261800</v>
      </c>
      <c r="BA378" s="33">
        <v>4750060</v>
      </c>
      <c r="BB378" s="33">
        <v>4750060</v>
      </c>
      <c r="BC378" s="18">
        <f t="shared" si="251"/>
        <v>14795550</v>
      </c>
      <c r="BD378" s="18">
        <f t="shared" si="252"/>
        <v>14795550</v>
      </c>
      <c r="BE378" s="19">
        <f t="shared" si="253"/>
        <v>0</v>
      </c>
      <c r="BF378" s="20">
        <f t="shared" si="254"/>
        <v>0</v>
      </c>
      <c r="BG378" s="20">
        <f t="shared" si="255"/>
        <v>0</v>
      </c>
    </row>
    <row r="379" spans="1:59" ht="14.25" customHeight="1">
      <c r="A379" s="147" t="s">
        <v>59</v>
      </c>
      <c r="B379" s="147" t="s">
        <v>958</v>
      </c>
      <c r="C379" s="151" t="s">
        <v>959</v>
      </c>
      <c r="D379" s="151" t="s">
        <v>62</v>
      </c>
      <c r="E379" s="151">
        <v>44</v>
      </c>
      <c r="F379" s="149" t="s">
        <v>1047</v>
      </c>
      <c r="G379" s="147" t="s">
        <v>1003</v>
      </c>
      <c r="H379" s="147" t="s">
        <v>1004</v>
      </c>
      <c r="I379" s="147" t="s">
        <v>288</v>
      </c>
      <c r="J379" s="164">
        <v>80111620</v>
      </c>
      <c r="K379" s="147" t="s">
        <v>1005</v>
      </c>
      <c r="L379" s="147" t="s">
        <v>83</v>
      </c>
      <c r="M379" s="149" t="s">
        <v>1048</v>
      </c>
      <c r="N379" s="149" t="s">
        <v>142</v>
      </c>
      <c r="O379" s="149" t="s">
        <v>142</v>
      </c>
      <c r="P379" s="149" t="s">
        <v>71</v>
      </c>
      <c r="Q379" s="149">
        <v>4</v>
      </c>
      <c r="R379" s="148" t="s">
        <v>72</v>
      </c>
      <c r="S379" s="147" t="s">
        <v>73</v>
      </c>
      <c r="T379" s="147" t="s">
        <v>74</v>
      </c>
      <c r="U379" s="197">
        <v>36463350</v>
      </c>
      <c r="V379" s="148">
        <v>36463350</v>
      </c>
      <c r="W379" s="148" t="s">
        <v>75</v>
      </c>
      <c r="X379" s="148" t="s">
        <v>67</v>
      </c>
      <c r="Y379" s="147" t="s">
        <v>1039</v>
      </c>
      <c r="Z379" s="147" t="s">
        <v>966</v>
      </c>
      <c r="AA379" s="147">
        <v>6012220601</v>
      </c>
      <c r="AB379" s="160" t="s">
        <v>1040</v>
      </c>
      <c r="AC379" s="10"/>
      <c r="AD379" s="10"/>
      <c r="AE379" s="51"/>
      <c r="AF379" s="10"/>
      <c r="AG379" s="10"/>
      <c r="AH379" s="52"/>
      <c r="AI379" s="10"/>
      <c r="AJ379" s="51"/>
      <c r="AK379" s="10"/>
      <c r="AL379" s="52"/>
      <c r="AM379" s="10"/>
      <c r="AN379" s="10"/>
      <c r="AO379" s="10"/>
      <c r="AP379" s="10"/>
      <c r="AQ379" s="10"/>
      <c r="AR379" s="10"/>
      <c r="AS379" s="10"/>
      <c r="AT379" s="10"/>
      <c r="AU379" s="15">
        <v>23112180</v>
      </c>
      <c r="AV379" s="15"/>
      <c r="AW379" s="15"/>
      <c r="AX379" s="15">
        <v>6404580</v>
      </c>
      <c r="AY379" s="15"/>
      <c r="AZ379" s="15">
        <v>16707600</v>
      </c>
      <c r="BA379" s="33">
        <v>13351170</v>
      </c>
      <c r="BB379" s="33">
        <v>13351170</v>
      </c>
      <c r="BC379" s="18">
        <f t="shared" si="251"/>
        <v>36463350</v>
      </c>
      <c r="BD379" s="18">
        <f t="shared" si="252"/>
        <v>36463350</v>
      </c>
      <c r="BE379" s="19">
        <f t="shared" si="253"/>
        <v>0</v>
      </c>
      <c r="BF379" s="20">
        <f t="shared" si="254"/>
        <v>0</v>
      </c>
      <c r="BG379" s="20">
        <f t="shared" si="255"/>
        <v>0</v>
      </c>
    </row>
    <row r="380" spans="1:59" ht="14.25" customHeight="1">
      <c r="A380" s="147" t="s">
        <v>59</v>
      </c>
      <c r="B380" s="147" t="s">
        <v>958</v>
      </c>
      <c r="C380" s="151" t="s">
        <v>959</v>
      </c>
      <c r="D380" s="151" t="s">
        <v>62</v>
      </c>
      <c r="E380" s="151">
        <v>44</v>
      </c>
      <c r="F380" s="149" t="s">
        <v>1049</v>
      </c>
      <c r="G380" s="147" t="s">
        <v>1003</v>
      </c>
      <c r="H380" s="147" t="s">
        <v>1004</v>
      </c>
      <c r="I380" s="147" t="s">
        <v>288</v>
      </c>
      <c r="J380" s="164">
        <v>80111620</v>
      </c>
      <c r="K380" s="147" t="s">
        <v>1005</v>
      </c>
      <c r="L380" s="147" t="s">
        <v>83</v>
      </c>
      <c r="M380" s="149" t="s">
        <v>1050</v>
      </c>
      <c r="N380" s="149" t="s">
        <v>71</v>
      </c>
      <c r="O380" s="149" t="s">
        <v>71</v>
      </c>
      <c r="P380" s="149" t="s">
        <v>71</v>
      </c>
      <c r="Q380" s="149">
        <v>3.5</v>
      </c>
      <c r="R380" s="148" t="s">
        <v>72</v>
      </c>
      <c r="S380" s="147" t="s">
        <v>73</v>
      </c>
      <c r="T380" s="147" t="s">
        <v>74</v>
      </c>
      <c r="U380" s="197">
        <v>36463350</v>
      </c>
      <c r="V380" s="148">
        <v>36463350</v>
      </c>
      <c r="W380" s="148" t="s">
        <v>75</v>
      </c>
      <c r="X380" s="148" t="s">
        <v>67</v>
      </c>
      <c r="Y380" s="147" t="s">
        <v>1039</v>
      </c>
      <c r="Z380" s="147" t="s">
        <v>966</v>
      </c>
      <c r="AA380" s="147">
        <v>6012220601</v>
      </c>
      <c r="AB380" s="160" t="s">
        <v>1040</v>
      </c>
      <c r="AC380" s="10"/>
      <c r="AD380" s="10"/>
      <c r="AE380" s="51"/>
      <c r="AF380" s="10"/>
      <c r="AG380" s="10"/>
      <c r="AH380" s="52"/>
      <c r="AI380" s="10"/>
      <c r="AJ380" s="51"/>
      <c r="AK380" s="10"/>
      <c r="AL380" s="52"/>
      <c r="AM380" s="10"/>
      <c r="AN380" s="10"/>
      <c r="AO380" s="10"/>
      <c r="AP380" s="10"/>
      <c r="AQ380" s="10"/>
      <c r="AR380" s="10"/>
      <c r="AS380" s="51">
        <v>32990650</v>
      </c>
      <c r="AT380" s="10"/>
      <c r="AU380" s="15"/>
      <c r="AV380" s="15"/>
      <c r="AW380" s="15"/>
      <c r="AX380" s="15">
        <v>9723560</v>
      </c>
      <c r="AY380" s="15"/>
      <c r="AZ380" s="15">
        <v>20836200</v>
      </c>
      <c r="BA380" s="33">
        <v>3472700</v>
      </c>
      <c r="BB380" s="33">
        <v>5903590</v>
      </c>
      <c r="BC380" s="18">
        <f t="shared" si="251"/>
        <v>36463350</v>
      </c>
      <c r="BD380" s="18">
        <f t="shared" si="252"/>
        <v>36463350</v>
      </c>
      <c r="BE380" s="19">
        <f t="shared" si="253"/>
        <v>0</v>
      </c>
      <c r="BF380" s="20">
        <f t="shared" si="254"/>
        <v>0</v>
      </c>
      <c r="BG380" s="20">
        <f t="shared" si="255"/>
        <v>0</v>
      </c>
    </row>
    <row r="381" spans="1:59" ht="14.25" customHeight="1">
      <c r="A381" s="147" t="s">
        <v>59</v>
      </c>
      <c r="B381" s="147" t="s">
        <v>958</v>
      </c>
      <c r="C381" s="151" t="s">
        <v>959</v>
      </c>
      <c r="D381" s="151" t="s">
        <v>62</v>
      </c>
      <c r="E381" s="151">
        <v>44</v>
      </c>
      <c r="F381" s="149" t="s">
        <v>1051</v>
      </c>
      <c r="G381" s="147" t="s">
        <v>1003</v>
      </c>
      <c r="H381" s="147" t="s">
        <v>1004</v>
      </c>
      <c r="I381" s="147" t="s">
        <v>288</v>
      </c>
      <c r="J381" s="164">
        <v>80111620</v>
      </c>
      <c r="K381" s="147" t="s">
        <v>1005</v>
      </c>
      <c r="L381" s="147" t="s">
        <v>83</v>
      </c>
      <c r="M381" s="149" t="s">
        <v>1052</v>
      </c>
      <c r="N381" s="149" t="s">
        <v>71</v>
      </c>
      <c r="O381" s="149" t="s">
        <v>71</v>
      </c>
      <c r="P381" s="149" t="s">
        <v>71</v>
      </c>
      <c r="Q381" s="149">
        <v>3.5</v>
      </c>
      <c r="R381" s="148" t="s">
        <v>72</v>
      </c>
      <c r="S381" s="147" t="s">
        <v>73</v>
      </c>
      <c r="T381" s="147" t="s">
        <v>74</v>
      </c>
      <c r="U381" s="197">
        <v>33872475</v>
      </c>
      <c r="V381" s="148">
        <v>33872475</v>
      </c>
      <c r="W381" s="148" t="s">
        <v>75</v>
      </c>
      <c r="X381" s="148" t="s">
        <v>67</v>
      </c>
      <c r="Y381" s="147" t="s">
        <v>1039</v>
      </c>
      <c r="Z381" s="147" t="s">
        <v>966</v>
      </c>
      <c r="AA381" s="147">
        <v>6012220601</v>
      </c>
      <c r="AB381" s="160" t="s">
        <v>1040</v>
      </c>
      <c r="AC381" s="10"/>
      <c r="AD381" s="10"/>
      <c r="AE381" s="51"/>
      <c r="AF381" s="10"/>
      <c r="AG381" s="10"/>
      <c r="AH381" s="52"/>
      <c r="AI381" s="10"/>
      <c r="AJ381" s="51"/>
      <c r="AK381" s="10"/>
      <c r="AL381" s="52"/>
      <c r="AM381" s="10"/>
      <c r="AN381" s="10"/>
      <c r="AO381" s="10"/>
      <c r="AP381" s="10"/>
      <c r="AQ381" s="10"/>
      <c r="AR381" s="10"/>
      <c r="AS381" s="10"/>
      <c r="AT381" s="10"/>
      <c r="AU381" s="15">
        <v>26775385</v>
      </c>
      <c r="AV381" s="15"/>
      <c r="AW381" s="15"/>
      <c r="AX381" s="15">
        <v>7419685</v>
      </c>
      <c r="AY381" s="15"/>
      <c r="AZ381" s="15">
        <v>19355700</v>
      </c>
      <c r="BA381" s="33">
        <v>7097090</v>
      </c>
      <c r="BB381" s="33">
        <v>7097090</v>
      </c>
      <c r="BC381" s="18">
        <f t="shared" si="251"/>
        <v>33872475</v>
      </c>
      <c r="BD381" s="18">
        <f t="shared" si="252"/>
        <v>33872475</v>
      </c>
      <c r="BE381" s="19">
        <f t="shared" si="253"/>
        <v>0</v>
      </c>
      <c r="BF381" s="20">
        <f t="shared" si="254"/>
        <v>0</v>
      </c>
      <c r="BG381" s="20">
        <f t="shared" si="255"/>
        <v>0</v>
      </c>
    </row>
    <row r="382" spans="1:59" ht="14.25" customHeight="1">
      <c r="A382" s="147" t="s">
        <v>59</v>
      </c>
      <c r="B382" s="147" t="s">
        <v>958</v>
      </c>
      <c r="C382" s="151" t="s">
        <v>959</v>
      </c>
      <c r="D382" s="151" t="s">
        <v>62</v>
      </c>
      <c r="E382" s="151">
        <v>47</v>
      </c>
      <c r="F382" s="149" t="s">
        <v>1053</v>
      </c>
      <c r="G382" s="147" t="s">
        <v>961</v>
      </c>
      <c r="H382" s="147" t="s">
        <v>962</v>
      </c>
      <c r="I382" s="147" t="s">
        <v>737</v>
      </c>
      <c r="J382" s="164">
        <v>43233600</v>
      </c>
      <c r="K382" s="147" t="s">
        <v>963</v>
      </c>
      <c r="L382" s="147" t="s">
        <v>333</v>
      </c>
      <c r="M382" s="149" t="s">
        <v>1054</v>
      </c>
      <c r="N382" s="149" t="s">
        <v>180</v>
      </c>
      <c r="O382" s="149" t="s">
        <v>180</v>
      </c>
      <c r="P382" s="149" t="s">
        <v>180</v>
      </c>
      <c r="Q382" s="149">
        <v>12</v>
      </c>
      <c r="R382" s="148" t="s">
        <v>72</v>
      </c>
      <c r="S382" s="147" t="s">
        <v>431</v>
      </c>
      <c r="T382" s="147" t="s">
        <v>74</v>
      </c>
      <c r="U382" s="197">
        <v>7539052</v>
      </c>
      <c r="V382" s="148">
        <v>7539052</v>
      </c>
      <c r="W382" s="148" t="s">
        <v>75</v>
      </c>
      <c r="X382" s="148" t="s">
        <v>67</v>
      </c>
      <c r="Y382" s="147" t="s">
        <v>1039</v>
      </c>
      <c r="Z382" s="147" t="s">
        <v>966</v>
      </c>
      <c r="AA382" s="147">
        <v>6012220601</v>
      </c>
      <c r="AB382" s="160" t="s">
        <v>1040</v>
      </c>
      <c r="AC382" s="10"/>
      <c r="AD382" s="10"/>
      <c r="AE382" s="51"/>
      <c r="AF382" s="10"/>
      <c r="AG382" s="10"/>
      <c r="AH382" s="52"/>
      <c r="AI382" s="10"/>
      <c r="AJ382" s="51"/>
      <c r="AK382" s="10"/>
      <c r="AL382" s="52"/>
      <c r="AM382" s="10"/>
      <c r="AN382" s="10"/>
      <c r="AO382" s="10"/>
      <c r="AP382" s="10"/>
      <c r="AQ382" s="10"/>
      <c r="AR382" s="10"/>
      <c r="AS382" s="10"/>
      <c r="AT382" s="10"/>
      <c r="AU382" s="15">
        <v>7539052</v>
      </c>
      <c r="AV382" s="15"/>
      <c r="AW382" s="15"/>
      <c r="AX382" s="15">
        <v>7539052</v>
      </c>
      <c r="AY382" s="15"/>
      <c r="AZ382" s="15"/>
      <c r="BA382" s="17"/>
      <c r="BB382" s="17"/>
      <c r="BC382" s="18">
        <f t="shared" si="251"/>
        <v>7539052</v>
      </c>
      <c r="BD382" s="18">
        <f t="shared" si="252"/>
        <v>7539052</v>
      </c>
      <c r="BE382" s="19">
        <f t="shared" si="253"/>
        <v>0</v>
      </c>
      <c r="BF382" s="20">
        <f t="shared" si="254"/>
        <v>0</v>
      </c>
      <c r="BG382" s="20">
        <f t="shared" si="255"/>
        <v>0</v>
      </c>
    </row>
    <row r="383" spans="1:59" ht="14.25" customHeight="1">
      <c r="A383" s="147" t="s">
        <v>59</v>
      </c>
      <c r="B383" s="147" t="s">
        <v>958</v>
      </c>
      <c r="C383" s="151" t="s">
        <v>959</v>
      </c>
      <c r="D383" s="151" t="s">
        <v>62</v>
      </c>
      <c r="E383" s="151">
        <v>47</v>
      </c>
      <c r="F383" s="149" t="s">
        <v>1055</v>
      </c>
      <c r="G383" s="147" t="s">
        <v>961</v>
      </c>
      <c r="H383" s="147" t="s">
        <v>962</v>
      </c>
      <c r="I383" s="147" t="s">
        <v>737</v>
      </c>
      <c r="J383" s="164">
        <v>43233600</v>
      </c>
      <c r="K383" s="147" t="s">
        <v>963</v>
      </c>
      <c r="L383" s="147" t="s">
        <v>333</v>
      </c>
      <c r="M383" s="149" t="s">
        <v>1056</v>
      </c>
      <c r="N383" s="149" t="s">
        <v>180</v>
      </c>
      <c r="O383" s="149" t="s">
        <v>180</v>
      </c>
      <c r="P383" s="149" t="s">
        <v>226</v>
      </c>
      <c r="Q383" s="149">
        <v>12</v>
      </c>
      <c r="R383" s="148" t="s">
        <v>72</v>
      </c>
      <c r="S383" s="147" t="s">
        <v>431</v>
      </c>
      <c r="T383" s="147" t="s">
        <v>74</v>
      </c>
      <c r="U383" s="197">
        <v>23079343</v>
      </c>
      <c r="V383" s="148">
        <v>23079343</v>
      </c>
      <c r="W383" s="148" t="s">
        <v>75</v>
      </c>
      <c r="X383" s="148" t="s">
        <v>67</v>
      </c>
      <c r="Y383" s="147" t="s">
        <v>1039</v>
      </c>
      <c r="Z383" s="147" t="s">
        <v>966</v>
      </c>
      <c r="AA383" s="147">
        <v>6012220601</v>
      </c>
      <c r="AB383" s="160" t="s">
        <v>1040</v>
      </c>
      <c r="AC383" s="10"/>
      <c r="AD383" s="10"/>
      <c r="AE383" s="51"/>
      <c r="AF383" s="10"/>
      <c r="AG383" s="10"/>
      <c r="AH383" s="52"/>
      <c r="AI383" s="10"/>
      <c r="AJ383" s="51"/>
      <c r="AK383" s="10"/>
      <c r="AL383" s="52"/>
      <c r="AM383" s="10"/>
      <c r="AN383" s="10"/>
      <c r="AO383" s="10"/>
      <c r="AP383" s="10"/>
      <c r="AQ383" s="10"/>
      <c r="AR383" s="10"/>
      <c r="AS383" s="10"/>
      <c r="AT383" s="10"/>
      <c r="AU383" s="15"/>
      <c r="AV383" s="15"/>
      <c r="AW383" s="15">
        <v>23079343</v>
      </c>
      <c r="AX383" s="15"/>
      <c r="AY383" s="15"/>
      <c r="AZ383" s="15">
        <v>23079343</v>
      </c>
      <c r="BA383" s="17"/>
      <c r="BB383" s="17"/>
      <c r="BC383" s="18">
        <f t="shared" si="251"/>
        <v>23079343</v>
      </c>
      <c r="BD383" s="18">
        <f t="shared" si="252"/>
        <v>23079343</v>
      </c>
      <c r="BE383" s="19">
        <f t="shared" si="253"/>
        <v>0</v>
      </c>
      <c r="BF383" s="20">
        <f t="shared" si="254"/>
        <v>0</v>
      </c>
      <c r="BG383" s="20">
        <f t="shared" si="255"/>
        <v>0</v>
      </c>
    </row>
    <row r="384" spans="1:59" ht="14.25" customHeight="1">
      <c r="A384" s="147" t="s">
        <v>59</v>
      </c>
      <c r="B384" s="147" t="s">
        <v>1057</v>
      </c>
      <c r="C384" s="151" t="s">
        <v>1058</v>
      </c>
      <c r="D384" s="151" t="s">
        <v>62</v>
      </c>
      <c r="E384" s="151">
        <v>40</v>
      </c>
      <c r="F384" s="149" t="s">
        <v>1059</v>
      </c>
      <c r="G384" s="147" t="s">
        <v>1060</v>
      </c>
      <c r="H384" s="147" t="s">
        <v>1061</v>
      </c>
      <c r="I384" s="147" t="s">
        <v>717</v>
      </c>
      <c r="J384" s="164">
        <v>80111620</v>
      </c>
      <c r="K384" s="147" t="s">
        <v>1062</v>
      </c>
      <c r="L384" s="147" t="s">
        <v>83</v>
      </c>
      <c r="M384" s="147" t="s">
        <v>1063</v>
      </c>
      <c r="N384" s="147" t="s">
        <v>85</v>
      </c>
      <c r="O384" s="147" t="s">
        <v>85</v>
      </c>
      <c r="P384" s="147" t="s">
        <v>85</v>
      </c>
      <c r="Q384" s="147">
        <v>11</v>
      </c>
      <c r="R384" s="147" t="s">
        <v>72</v>
      </c>
      <c r="S384" s="147" t="s">
        <v>73</v>
      </c>
      <c r="T384" s="147" t="s">
        <v>74</v>
      </c>
      <c r="U384" s="177">
        <v>126780812</v>
      </c>
      <c r="V384" s="177">
        <v>126780812</v>
      </c>
      <c r="W384" s="147" t="s">
        <v>75</v>
      </c>
      <c r="X384" s="147" t="s">
        <v>67</v>
      </c>
      <c r="Y384" s="147" t="s">
        <v>1064</v>
      </c>
      <c r="Z384" s="147" t="s">
        <v>1065</v>
      </c>
      <c r="AA384" s="147">
        <v>6012220601</v>
      </c>
      <c r="AB384" s="160" t="s">
        <v>1066</v>
      </c>
      <c r="AC384" s="14"/>
      <c r="AD384" s="14"/>
      <c r="AE384" s="14">
        <v>129571585</v>
      </c>
      <c r="AF384" s="14"/>
      <c r="AG384" s="14"/>
      <c r="AH384" s="14">
        <v>7176272</v>
      </c>
      <c r="AI384" s="14">
        <v>-2790773</v>
      </c>
      <c r="AJ384" s="14">
        <v>11960454</v>
      </c>
      <c r="AK384" s="14"/>
      <c r="AL384" s="14">
        <v>11960454</v>
      </c>
      <c r="AM384" s="14"/>
      <c r="AN384" s="14">
        <v>11960454</v>
      </c>
      <c r="AO384" s="14"/>
      <c r="AP384" s="14">
        <v>11960454</v>
      </c>
      <c r="AQ384" s="14"/>
      <c r="AR384" s="14">
        <v>11960454</v>
      </c>
      <c r="AS384" s="14"/>
      <c r="AT384" s="14">
        <v>11960454</v>
      </c>
      <c r="AU384" s="25"/>
      <c r="AV384" s="25">
        <v>11960454</v>
      </c>
      <c r="AW384" s="25"/>
      <c r="AX384" s="25">
        <v>11960454</v>
      </c>
      <c r="AY384" s="25"/>
      <c r="AZ384" s="25">
        <v>23920908</v>
      </c>
      <c r="BA384" s="17"/>
      <c r="BB384" s="17"/>
      <c r="BC384" s="18">
        <f t="shared" si="251"/>
        <v>126780812</v>
      </c>
      <c r="BD384" s="18">
        <f t="shared" si="252"/>
        <v>126780812</v>
      </c>
      <c r="BE384" s="19">
        <f t="shared" si="253"/>
        <v>0</v>
      </c>
      <c r="BF384" s="20">
        <f t="shared" si="254"/>
        <v>0</v>
      </c>
      <c r="BG384" s="20">
        <f t="shared" si="255"/>
        <v>0</v>
      </c>
    </row>
    <row r="385" spans="1:59" ht="14.25" customHeight="1">
      <c r="A385" s="147" t="s">
        <v>59</v>
      </c>
      <c r="B385" s="147" t="s">
        <v>1057</v>
      </c>
      <c r="C385" s="151" t="s">
        <v>1058</v>
      </c>
      <c r="D385" s="151" t="s">
        <v>62</v>
      </c>
      <c r="E385" s="151">
        <v>46</v>
      </c>
      <c r="F385" s="149" t="s">
        <v>1067</v>
      </c>
      <c r="G385" s="147" t="s">
        <v>1060</v>
      </c>
      <c r="H385" s="147" t="s">
        <v>1061</v>
      </c>
      <c r="I385" s="147" t="s">
        <v>737</v>
      </c>
      <c r="J385" s="164">
        <v>80111620</v>
      </c>
      <c r="K385" s="147" t="s">
        <v>1062</v>
      </c>
      <c r="L385" s="147" t="s">
        <v>83</v>
      </c>
      <c r="M385" s="147" t="s">
        <v>1068</v>
      </c>
      <c r="N385" s="147" t="s">
        <v>85</v>
      </c>
      <c r="O385" s="147" t="s">
        <v>85</v>
      </c>
      <c r="P385" s="147" t="s">
        <v>85</v>
      </c>
      <c r="Q385" s="147">
        <v>11</v>
      </c>
      <c r="R385" s="147" t="s">
        <v>72</v>
      </c>
      <c r="S385" s="147" t="s">
        <v>73</v>
      </c>
      <c r="T385" s="147" t="s">
        <v>74</v>
      </c>
      <c r="U385" s="148">
        <v>53742220</v>
      </c>
      <c r="V385" s="167">
        <v>53742220</v>
      </c>
      <c r="W385" s="147" t="s">
        <v>75</v>
      </c>
      <c r="X385" s="147" t="s">
        <v>67</v>
      </c>
      <c r="Y385" s="147" t="s">
        <v>1064</v>
      </c>
      <c r="Z385" s="147" t="s">
        <v>1065</v>
      </c>
      <c r="AA385" s="147">
        <v>6012220601</v>
      </c>
      <c r="AB385" s="160" t="s">
        <v>1066</v>
      </c>
      <c r="AC385" s="14"/>
      <c r="AD385" s="14"/>
      <c r="AE385" s="14">
        <v>84981540</v>
      </c>
      <c r="AF385" s="14"/>
      <c r="AG385" s="14"/>
      <c r="AH385" s="14">
        <v>5559540</v>
      </c>
      <c r="AI385" s="14"/>
      <c r="AJ385" s="14">
        <v>7942200</v>
      </c>
      <c r="AK385" s="14"/>
      <c r="AL385" s="14">
        <v>7942200</v>
      </c>
      <c r="AM385" s="14"/>
      <c r="AN385" s="14">
        <v>7942200</v>
      </c>
      <c r="AO385" s="14"/>
      <c r="AP385" s="14">
        <v>7942200</v>
      </c>
      <c r="AQ385" s="14"/>
      <c r="AR385" s="14">
        <v>7942200</v>
      </c>
      <c r="AS385" s="14">
        <v>-31239320</v>
      </c>
      <c r="AT385" s="14">
        <v>7942200</v>
      </c>
      <c r="AU385" s="28"/>
      <c r="AV385" s="25">
        <v>529480</v>
      </c>
      <c r="AW385" s="25"/>
      <c r="AX385" s="25"/>
      <c r="AY385" s="25"/>
      <c r="AZ385" s="25"/>
      <c r="BA385" s="17"/>
      <c r="BB385" s="17"/>
      <c r="BC385" s="18">
        <f t="shared" si="251"/>
        <v>53742220</v>
      </c>
      <c r="BD385" s="18">
        <f t="shared" si="252"/>
        <v>53742220</v>
      </c>
      <c r="BE385" s="19">
        <f t="shared" si="253"/>
        <v>0</v>
      </c>
      <c r="BF385" s="20">
        <f t="shared" si="254"/>
        <v>0</v>
      </c>
      <c r="BG385" s="20">
        <f t="shared" si="255"/>
        <v>0</v>
      </c>
    </row>
    <row r="386" spans="1:59" ht="14.25" customHeight="1">
      <c r="A386" s="147" t="s">
        <v>59</v>
      </c>
      <c r="B386" s="147" t="s">
        <v>1057</v>
      </c>
      <c r="C386" s="151" t="s">
        <v>1058</v>
      </c>
      <c r="D386" s="151" t="s">
        <v>62</v>
      </c>
      <c r="E386" s="151" t="s">
        <v>114</v>
      </c>
      <c r="F386" s="149" t="s">
        <v>1069</v>
      </c>
      <c r="G386" s="147" t="s">
        <v>1060</v>
      </c>
      <c r="H386" s="147" t="s">
        <v>1061</v>
      </c>
      <c r="I386" s="147" t="s">
        <v>737</v>
      </c>
      <c r="J386" s="164">
        <v>80111620</v>
      </c>
      <c r="K386" s="147" t="s">
        <v>1062</v>
      </c>
      <c r="L386" s="147" t="s">
        <v>83</v>
      </c>
      <c r="M386" s="147" t="s">
        <v>1070</v>
      </c>
      <c r="N386" s="147" t="s">
        <v>91</v>
      </c>
      <c r="O386" s="147" t="s">
        <v>91</v>
      </c>
      <c r="P386" s="147" t="s">
        <v>91</v>
      </c>
      <c r="Q386" s="147">
        <v>11.5</v>
      </c>
      <c r="R386" s="147" t="s">
        <v>72</v>
      </c>
      <c r="S386" s="147" t="s">
        <v>73</v>
      </c>
      <c r="T386" s="147" t="s">
        <v>74</v>
      </c>
      <c r="U386" s="148">
        <v>119808150</v>
      </c>
      <c r="V386" s="148">
        <v>119808150</v>
      </c>
      <c r="W386" s="147" t="s">
        <v>75</v>
      </c>
      <c r="X386" s="147" t="s">
        <v>67</v>
      </c>
      <c r="Y386" s="147" t="s">
        <v>1064</v>
      </c>
      <c r="Z386" s="147" t="s">
        <v>1065</v>
      </c>
      <c r="AA386" s="147">
        <v>6012220601</v>
      </c>
      <c r="AB386" s="160" t="s">
        <v>1066</v>
      </c>
      <c r="AC386" s="14">
        <v>119808150</v>
      </c>
      <c r="AD386" s="14"/>
      <c r="AE386" s="14"/>
      <c r="AF386" s="14">
        <v>5556320</v>
      </c>
      <c r="AG386" s="14"/>
      <c r="AH386" s="14">
        <v>10418100</v>
      </c>
      <c r="AI386" s="14"/>
      <c r="AJ386" s="14">
        <v>10418100</v>
      </c>
      <c r="AK386" s="14"/>
      <c r="AL386" s="14">
        <v>10418100</v>
      </c>
      <c r="AM386" s="14"/>
      <c r="AN386" s="14">
        <v>10418100</v>
      </c>
      <c r="AO386" s="14"/>
      <c r="AP386" s="14">
        <v>10418100</v>
      </c>
      <c r="AQ386" s="14"/>
      <c r="AR386" s="14">
        <v>10418100</v>
      </c>
      <c r="AS386" s="14"/>
      <c r="AT386" s="14">
        <v>10418100</v>
      </c>
      <c r="AU386" s="25"/>
      <c r="AV386" s="25">
        <v>10418100</v>
      </c>
      <c r="AW386" s="25"/>
      <c r="AX386" s="25">
        <v>10418100</v>
      </c>
      <c r="AY386" s="28"/>
      <c r="AZ386" s="28">
        <v>20488930</v>
      </c>
      <c r="BA386" s="17"/>
      <c r="BB386" s="17"/>
      <c r="BC386" s="18">
        <f t="shared" si="251"/>
        <v>119808150</v>
      </c>
      <c r="BD386" s="18">
        <f t="shared" si="252"/>
        <v>119808150</v>
      </c>
      <c r="BE386" s="19">
        <f t="shared" si="253"/>
        <v>0</v>
      </c>
      <c r="BF386" s="20">
        <f t="shared" si="254"/>
        <v>0</v>
      </c>
      <c r="BG386" s="20">
        <f t="shared" si="255"/>
        <v>0</v>
      </c>
    </row>
    <row r="387" spans="1:59" ht="14.25" customHeight="1">
      <c r="A387" s="147" t="s">
        <v>59</v>
      </c>
      <c r="B387" s="147" t="s">
        <v>1057</v>
      </c>
      <c r="C387" s="151" t="s">
        <v>1058</v>
      </c>
      <c r="D387" s="151" t="s">
        <v>62</v>
      </c>
      <c r="E387" s="151" t="s">
        <v>114</v>
      </c>
      <c r="F387" s="149" t="s">
        <v>1071</v>
      </c>
      <c r="G387" s="147" t="s">
        <v>1060</v>
      </c>
      <c r="H387" s="147" t="s">
        <v>1061</v>
      </c>
      <c r="I387" s="147" t="s">
        <v>737</v>
      </c>
      <c r="J387" s="164">
        <v>80111620</v>
      </c>
      <c r="K387" s="147" t="s">
        <v>1062</v>
      </c>
      <c r="L387" s="147" t="s">
        <v>83</v>
      </c>
      <c r="M387" s="147" t="s">
        <v>1072</v>
      </c>
      <c r="N387" s="147" t="s">
        <v>91</v>
      </c>
      <c r="O387" s="147" t="s">
        <v>91</v>
      </c>
      <c r="P387" s="147" t="s">
        <v>91</v>
      </c>
      <c r="Q387" s="147">
        <v>11.5</v>
      </c>
      <c r="R387" s="147" t="s">
        <v>72</v>
      </c>
      <c r="S387" s="147" t="s">
        <v>73</v>
      </c>
      <c r="T387" s="147" t="s">
        <v>74</v>
      </c>
      <c r="U387" s="148">
        <v>119808150</v>
      </c>
      <c r="V387" s="148">
        <v>119808150</v>
      </c>
      <c r="W387" s="147" t="s">
        <v>75</v>
      </c>
      <c r="X387" s="147" t="s">
        <v>67</v>
      </c>
      <c r="Y387" s="147" t="s">
        <v>1064</v>
      </c>
      <c r="Z387" s="147" t="s">
        <v>1065</v>
      </c>
      <c r="AA387" s="147">
        <v>6012220601</v>
      </c>
      <c r="AB387" s="160" t="s">
        <v>1066</v>
      </c>
      <c r="AC387" s="14">
        <v>119808150</v>
      </c>
      <c r="AD387" s="14"/>
      <c r="AE387" s="14"/>
      <c r="AF387" s="14">
        <v>5556320</v>
      </c>
      <c r="AG387" s="14"/>
      <c r="AH387" s="14">
        <v>10418100</v>
      </c>
      <c r="AI387" s="14"/>
      <c r="AJ387" s="14">
        <v>10418100</v>
      </c>
      <c r="AK387" s="14"/>
      <c r="AL387" s="14">
        <v>10418100</v>
      </c>
      <c r="AM387" s="14"/>
      <c r="AN387" s="14">
        <v>10418100</v>
      </c>
      <c r="AO387" s="14"/>
      <c r="AP387" s="14">
        <v>10418100</v>
      </c>
      <c r="AQ387" s="14"/>
      <c r="AR387" s="14">
        <v>10418100</v>
      </c>
      <c r="AS387" s="14"/>
      <c r="AT387" s="14">
        <v>10418100</v>
      </c>
      <c r="AU387" s="25"/>
      <c r="AV387" s="25">
        <v>10418100</v>
      </c>
      <c r="AW387" s="25"/>
      <c r="AX387" s="25">
        <v>10418100</v>
      </c>
      <c r="AY387" s="25"/>
      <c r="AZ387" s="28">
        <v>20488930</v>
      </c>
      <c r="BA387" s="17"/>
      <c r="BB387" s="17"/>
      <c r="BC387" s="18">
        <f t="shared" si="251"/>
        <v>119808150</v>
      </c>
      <c r="BD387" s="18">
        <f t="shared" si="252"/>
        <v>119808150</v>
      </c>
      <c r="BE387" s="19">
        <f t="shared" si="253"/>
        <v>0</v>
      </c>
      <c r="BF387" s="20">
        <f t="shared" si="254"/>
        <v>0</v>
      </c>
      <c r="BG387" s="20">
        <f t="shared" si="255"/>
        <v>0</v>
      </c>
    </row>
    <row r="388" spans="1:59" ht="14.25" customHeight="1">
      <c r="A388" s="147" t="s">
        <v>59</v>
      </c>
      <c r="B388" s="147" t="s">
        <v>1057</v>
      </c>
      <c r="C388" s="151" t="s">
        <v>1058</v>
      </c>
      <c r="D388" s="151" t="s">
        <v>62</v>
      </c>
      <c r="E388" s="151" t="s">
        <v>114</v>
      </c>
      <c r="F388" s="149" t="s">
        <v>1073</v>
      </c>
      <c r="G388" s="147" t="s">
        <v>1060</v>
      </c>
      <c r="H388" s="147" t="s">
        <v>1061</v>
      </c>
      <c r="I388" s="147" t="s">
        <v>737</v>
      </c>
      <c r="J388" s="164">
        <v>80111620</v>
      </c>
      <c r="K388" s="147" t="s">
        <v>1062</v>
      </c>
      <c r="L388" s="147" t="s">
        <v>83</v>
      </c>
      <c r="M388" s="147" t="s">
        <v>1074</v>
      </c>
      <c r="N388" s="147" t="s">
        <v>91</v>
      </c>
      <c r="O388" s="147" t="s">
        <v>91</v>
      </c>
      <c r="P388" s="147" t="s">
        <v>91</v>
      </c>
      <c r="Q388" s="147">
        <v>11.5</v>
      </c>
      <c r="R388" s="147" t="s">
        <v>72</v>
      </c>
      <c r="S388" s="147" t="s">
        <v>73</v>
      </c>
      <c r="T388" s="147" t="s">
        <v>74</v>
      </c>
      <c r="U388" s="148">
        <v>96068700</v>
      </c>
      <c r="V388" s="148">
        <v>96068700</v>
      </c>
      <c r="W388" s="147" t="s">
        <v>75</v>
      </c>
      <c r="X388" s="147" t="s">
        <v>67</v>
      </c>
      <c r="Y388" s="147" t="s">
        <v>1064</v>
      </c>
      <c r="Z388" s="147" t="s">
        <v>1065</v>
      </c>
      <c r="AA388" s="147">
        <v>6012220601</v>
      </c>
      <c r="AB388" s="160" t="s">
        <v>1066</v>
      </c>
      <c r="AC388" s="14">
        <v>96068700</v>
      </c>
      <c r="AD388" s="14"/>
      <c r="AE388" s="14"/>
      <c r="AF388" s="14">
        <v>4455360</v>
      </c>
      <c r="AG388" s="14"/>
      <c r="AH388" s="14">
        <v>8353800</v>
      </c>
      <c r="AI388" s="14"/>
      <c r="AJ388" s="14">
        <v>8353800</v>
      </c>
      <c r="AK388" s="14"/>
      <c r="AL388" s="14">
        <v>8353800</v>
      </c>
      <c r="AM388" s="14"/>
      <c r="AN388" s="14">
        <v>8353800</v>
      </c>
      <c r="AO388" s="14"/>
      <c r="AP388" s="14">
        <v>8353800</v>
      </c>
      <c r="AQ388" s="14"/>
      <c r="AR388" s="14">
        <v>8353800</v>
      </c>
      <c r="AS388" s="14"/>
      <c r="AT388" s="14">
        <v>8353800</v>
      </c>
      <c r="AU388" s="25"/>
      <c r="AV388" s="25">
        <v>8353800</v>
      </c>
      <c r="AW388" s="25"/>
      <c r="AX388" s="25">
        <v>8353800</v>
      </c>
      <c r="AY388" s="25"/>
      <c r="AZ388" s="28">
        <v>16429140</v>
      </c>
      <c r="BA388" s="17"/>
      <c r="BB388" s="17"/>
      <c r="BC388" s="18">
        <f t="shared" si="251"/>
        <v>96068700</v>
      </c>
      <c r="BD388" s="18">
        <f t="shared" si="252"/>
        <v>96068700</v>
      </c>
      <c r="BE388" s="19">
        <f t="shared" si="253"/>
        <v>0</v>
      </c>
      <c r="BF388" s="20">
        <f t="shared" si="254"/>
        <v>0</v>
      </c>
      <c r="BG388" s="20">
        <f t="shared" si="255"/>
        <v>0</v>
      </c>
    </row>
    <row r="389" spans="1:59" ht="14.25" customHeight="1">
      <c r="A389" s="147" t="s">
        <v>59</v>
      </c>
      <c r="B389" s="147" t="s">
        <v>1057</v>
      </c>
      <c r="C389" s="151" t="s">
        <v>1058</v>
      </c>
      <c r="D389" s="151" t="s">
        <v>62</v>
      </c>
      <c r="E389" s="151">
        <v>13</v>
      </c>
      <c r="F389" s="149" t="s">
        <v>1075</v>
      </c>
      <c r="G389" s="147" t="s">
        <v>1060</v>
      </c>
      <c r="H389" s="147" t="s">
        <v>1061</v>
      </c>
      <c r="I389" s="147" t="s">
        <v>737</v>
      </c>
      <c r="J389" s="164">
        <v>80111620</v>
      </c>
      <c r="K389" s="147" t="s">
        <v>1062</v>
      </c>
      <c r="L389" s="147" t="s">
        <v>83</v>
      </c>
      <c r="M389" s="147" t="s">
        <v>1076</v>
      </c>
      <c r="N389" s="147" t="s">
        <v>91</v>
      </c>
      <c r="O389" s="147" t="s">
        <v>91</v>
      </c>
      <c r="P389" s="147" t="s">
        <v>85</v>
      </c>
      <c r="Q389" s="147">
        <v>11</v>
      </c>
      <c r="R389" s="147" t="s">
        <v>72</v>
      </c>
      <c r="S389" s="147" t="s">
        <v>73</v>
      </c>
      <c r="T389" s="147" t="s">
        <v>74</v>
      </c>
      <c r="U389" s="148">
        <v>45795750</v>
      </c>
      <c r="V389" s="148">
        <v>45795750</v>
      </c>
      <c r="W389" s="147" t="s">
        <v>75</v>
      </c>
      <c r="X389" s="147" t="s">
        <v>67</v>
      </c>
      <c r="Y389" s="147" t="s">
        <v>1064</v>
      </c>
      <c r="Z389" s="147" t="s">
        <v>1065</v>
      </c>
      <c r="AA389" s="147">
        <v>6012220601</v>
      </c>
      <c r="AB389" s="160" t="s">
        <v>1066</v>
      </c>
      <c r="AC389" s="14"/>
      <c r="AD389" s="14"/>
      <c r="AE389" s="14">
        <v>45795750</v>
      </c>
      <c r="AF389" s="14"/>
      <c r="AG389" s="14"/>
      <c r="AH389" s="14">
        <v>3522750</v>
      </c>
      <c r="AI389" s="14"/>
      <c r="AJ389" s="14">
        <v>4227300</v>
      </c>
      <c r="AK389" s="14"/>
      <c r="AL389" s="14">
        <v>4227300</v>
      </c>
      <c r="AM389" s="14"/>
      <c r="AN389" s="14">
        <v>4227300</v>
      </c>
      <c r="AO389" s="14"/>
      <c r="AP389" s="14">
        <v>4227300</v>
      </c>
      <c r="AQ389" s="14"/>
      <c r="AR389" s="14">
        <v>4227300</v>
      </c>
      <c r="AS389" s="14"/>
      <c r="AT389" s="14">
        <v>4227300</v>
      </c>
      <c r="AU389" s="25"/>
      <c r="AV389" s="25">
        <v>4227300</v>
      </c>
      <c r="AW389" s="25"/>
      <c r="AX389" s="25">
        <v>4227300</v>
      </c>
      <c r="AY389" s="25"/>
      <c r="AZ389" s="25">
        <v>8454600</v>
      </c>
      <c r="BA389" s="17"/>
      <c r="BB389" s="17"/>
      <c r="BC389" s="18">
        <f t="shared" si="251"/>
        <v>45795750</v>
      </c>
      <c r="BD389" s="18">
        <f t="shared" si="252"/>
        <v>45795750</v>
      </c>
      <c r="BE389" s="19">
        <f t="shared" si="253"/>
        <v>0</v>
      </c>
      <c r="BF389" s="20">
        <f t="shared" si="254"/>
        <v>0</v>
      </c>
      <c r="BG389" s="20">
        <f t="shared" si="255"/>
        <v>0</v>
      </c>
    </row>
    <row r="390" spans="1:59" ht="14.25" customHeight="1">
      <c r="A390" s="147" t="s">
        <v>59</v>
      </c>
      <c r="B390" s="147" t="s">
        <v>1057</v>
      </c>
      <c r="C390" s="151" t="s">
        <v>1058</v>
      </c>
      <c r="D390" s="151" t="s">
        <v>62</v>
      </c>
      <c r="E390" s="151" t="s">
        <v>114</v>
      </c>
      <c r="F390" s="149" t="s">
        <v>1077</v>
      </c>
      <c r="G390" s="147" t="s">
        <v>1078</v>
      </c>
      <c r="H390" s="147" t="s">
        <v>1079</v>
      </c>
      <c r="I390" s="147" t="s">
        <v>717</v>
      </c>
      <c r="J390" s="164">
        <v>80111620</v>
      </c>
      <c r="K390" s="147" t="s">
        <v>1080</v>
      </c>
      <c r="L390" s="147" t="s">
        <v>83</v>
      </c>
      <c r="M390" s="147" t="s">
        <v>1081</v>
      </c>
      <c r="N390" s="147" t="s">
        <v>91</v>
      </c>
      <c r="O390" s="147" t="s">
        <v>91</v>
      </c>
      <c r="P390" s="147" t="s">
        <v>91</v>
      </c>
      <c r="Q390" s="147">
        <v>11.1</v>
      </c>
      <c r="R390" s="147" t="s">
        <v>72</v>
      </c>
      <c r="S390" s="147" t="s">
        <v>73</v>
      </c>
      <c r="T390" s="147" t="s">
        <v>74</v>
      </c>
      <c r="U390" s="148">
        <v>155347200</v>
      </c>
      <c r="V390" s="148">
        <v>155347200</v>
      </c>
      <c r="W390" s="147" t="s">
        <v>75</v>
      </c>
      <c r="X390" s="147" t="s">
        <v>67</v>
      </c>
      <c r="Y390" s="147" t="s">
        <v>1064</v>
      </c>
      <c r="Z390" s="147" t="s">
        <v>1065</v>
      </c>
      <c r="AA390" s="147">
        <v>6012220601</v>
      </c>
      <c r="AB390" s="160" t="s">
        <v>1066</v>
      </c>
      <c r="AC390" s="14">
        <v>155347200</v>
      </c>
      <c r="AD390" s="14"/>
      <c r="AE390" s="14"/>
      <c r="AF390" s="14"/>
      <c r="AG390" s="14">
        <v>-1320781</v>
      </c>
      <c r="AH390" s="14">
        <v>13207810</v>
      </c>
      <c r="AI390" s="14"/>
      <c r="AJ390" s="14">
        <f>13207810+ 811202</f>
        <v>14019012</v>
      </c>
      <c r="AK390" s="14"/>
      <c r="AL390" s="14">
        <f>13207810+ 1260580</f>
        <v>14468390</v>
      </c>
      <c r="AM390" s="14"/>
      <c r="AN390" s="14">
        <f>13207810+ 234946</f>
        <v>13442756</v>
      </c>
      <c r="AO390" s="14"/>
      <c r="AP390" s="14">
        <f>13207810+ 1311724</f>
        <v>14519534</v>
      </c>
      <c r="AQ390" s="14"/>
      <c r="AR390" s="14">
        <v>13207810</v>
      </c>
      <c r="AS390" s="14"/>
      <c r="AT390" s="14">
        <v>13207810</v>
      </c>
      <c r="AU390" s="25"/>
      <c r="AV390" s="28">
        <v>13207810</v>
      </c>
      <c r="AW390" s="25"/>
      <c r="AX390" s="28">
        <v>13207810</v>
      </c>
      <c r="AY390" s="28"/>
      <c r="AZ390" s="28">
        <v>31537677</v>
      </c>
      <c r="BA390" s="33">
        <v>1320781</v>
      </c>
      <c r="BB390" s="33">
        <v>1320781</v>
      </c>
      <c r="BC390" s="18">
        <f t="shared" si="251"/>
        <v>155347200</v>
      </c>
      <c r="BD390" s="18">
        <f t="shared" si="252"/>
        <v>155347200</v>
      </c>
      <c r="BE390" s="19">
        <f t="shared" si="253"/>
        <v>0</v>
      </c>
      <c r="BF390" s="20">
        <f t="shared" si="254"/>
        <v>0</v>
      </c>
      <c r="BG390" s="20">
        <f t="shared" si="255"/>
        <v>0</v>
      </c>
    </row>
    <row r="391" spans="1:59" ht="14.25" customHeight="1">
      <c r="A391" s="147" t="s">
        <v>59</v>
      </c>
      <c r="B391" s="147" t="s">
        <v>1057</v>
      </c>
      <c r="C391" s="151" t="s">
        <v>1058</v>
      </c>
      <c r="D391" s="151" t="s">
        <v>62</v>
      </c>
      <c r="E391" s="151" t="s">
        <v>114</v>
      </c>
      <c r="F391" s="149" t="s">
        <v>1082</v>
      </c>
      <c r="G391" s="147" t="s">
        <v>1083</v>
      </c>
      <c r="H391" s="147" t="s">
        <v>1084</v>
      </c>
      <c r="I391" s="147" t="s">
        <v>296</v>
      </c>
      <c r="J391" s="164">
        <v>80111620</v>
      </c>
      <c r="K391" s="147" t="s">
        <v>1085</v>
      </c>
      <c r="L391" s="147" t="s">
        <v>83</v>
      </c>
      <c r="M391" s="147" t="s">
        <v>1086</v>
      </c>
      <c r="N391" s="147" t="s">
        <v>91</v>
      </c>
      <c r="O391" s="147" t="s">
        <v>91</v>
      </c>
      <c r="P391" s="147" t="s">
        <v>91</v>
      </c>
      <c r="Q391" s="147">
        <v>11.2</v>
      </c>
      <c r="R391" s="147" t="s">
        <v>72</v>
      </c>
      <c r="S391" s="147" t="s">
        <v>73</v>
      </c>
      <c r="T391" s="147" t="s">
        <v>74</v>
      </c>
      <c r="U391" s="148">
        <v>114097500</v>
      </c>
      <c r="V391" s="148">
        <v>114097500</v>
      </c>
      <c r="W391" s="147" t="s">
        <v>75</v>
      </c>
      <c r="X391" s="147" t="s">
        <v>67</v>
      </c>
      <c r="Y391" s="147" t="s">
        <v>1064</v>
      </c>
      <c r="Z391" s="147" t="s">
        <v>1065</v>
      </c>
      <c r="AA391" s="147">
        <v>6012220601</v>
      </c>
      <c r="AB391" s="160" t="s">
        <v>1066</v>
      </c>
      <c r="AC391" s="14">
        <v>114097500</v>
      </c>
      <c r="AD391" s="14"/>
      <c r="AE391" s="14"/>
      <c r="AF391" s="14">
        <v>4517310</v>
      </c>
      <c r="AG391" s="14"/>
      <c r="AH391" s="14">
        <v>9679950</v>
      </c>
      <c r="AI391" s="14"/>
      <c r="AJ391" s="14">
        <v>9679950</v>
      </c>
      <c r="AK391" s="14"/>
      <c r="AL391" s="14">
        <v>9679950</v>
      </c>
      <c r="AM391" s="14"/>
      <c r="AN391" s="14">
        <v>9679950</v>
      </c>
      <c r="AO391" s="14"/>
      <c r="AP391" s="14">
        <v>9679950</v>
      </c>
      <c r="AQ391" s="14"/>
      <c r="AR391" s="14">
        <v>9679950</v>
      </c>
      <c r="AS391" s="14"/>
      <c r="AT391" s="14">
        <v>9679950</v>
      </c>
      <c r="AU391" s="25"/>
      <c r="AV391" s="28">
        <v>9679950</v>
      </c>
      <c r="AW391" s="25"/>
      <c r="AX391" s="28">
        <v>9679950</v>
      </c>
      <c r="AY391" s="25"/>
      <c r="AZ391" s="28">
        <v>22460640</v>
      </c>
      <c r="BA391" s="17"/>
      <c r="BB391" s="17"/>
      <c r="BC391" s="18">
        <f t="shared" si="251"/>
        <v>114097500</v>
      </c>
      <c r="BD391" s="18">
        <f t="shared" si="252"/>
        <v>114097500</v>
      </c>
      <c r="BE391" s="19">
        <f t="shared" si="253"/>
        <v>0</v>
      </c>
      <c r="BF391" s="20">
        <f t="shared" si="254"/>
        <v>0</v>
      </c>
      <c r="BG391" s="20">
        <f t="shared" si="255"/>
        <v>0</v>
      </c>
    </row>
    <row r="392" spans="1:59" ht="14.25" customHeight="1">
      <c r="A392" s="147" t="s">
        <v>59</v>
      </c>
      <c r="B392" s="147" t="s">
        <v>1057</v>
      </c>
      <c r="C392" s="151" t="s">
        <v>1058</v>
      </c>
      <c r="D392" s="151" t="s">
        <v>62</v>
      </c>
      <c r="E392" s="151">
        <v>13</v>
      </c>
      <c r="F392" s="149" t="s">
        <v>1087</v>
      </c>
      <c r="G392" s="147" t="s">
        <v>1060</v>
      </c>
      <c r="H392" s="147" t="s">
        <v>1061</v>
      </c>
      <c r="I392" s="147" t="s">
        <v>717</v>
      </c>
      <c r="J392" s="164">
        <v>80111620</v>
      </c>
      <c r="K392" s="147" t="s">
        <v>1062</v>
      </c>
      <c r="L392" s="147" t="s">
        <v>83</v>
      </c>
      <c r="M392" s="147" t="s">
        <v>1088</v>
      </c>
      <c r="N392" s="147" t="s">
        <v>91</v>
      </c>
      <c r="O392" s="147" t="s">
        <v>91</v>
      </c>
      <c r="P392" s="147" t="s">
        <v>91</v>
      </c>
      <c r="Q392" s="147">
        <v>10.9</v>
      </c>
      <c r="R392" s="147" t="s">
        <v>72</v>
      </c>
      <c r="S392" s="147" t="s">
        <v>73</v>
      </c>
      <c r="T392" s="147" t="s">
        <v>74</v>
      </c>
      <c r="U392" s="148">
        <v>144029984</v>
      </c>
      <c r="V392" s="148">
        <v>144029984</v>
      </c>
      <c r="W392" s="147" t="s">
        <v>75</v>
      </c>
      <c r="X392" s="147" t="s">
        <v>67</v>
      </c>
      <c r="Y392" s="147" t="s">
        <v>1064</v>
      </c>
      <c r="Z392" s="147" t="s">
        <v>1065</v>
      </c>
      <c r="AA392" s="147">
        <v>6012220601</v>
      </c>
      <c r="AB392" s="160" t="s">
        <v>1066</v>
      </c>
      <c r="AC392" s="14">
        <v>144029984</v>
      </c>
      <c r="AD392" s="14"/>
      <c r="AE392" s="14"/>
      <c r="AF392" s="14">
        <v>7047338</v>
      </c>
      <c r="AG392" s="14"/>
      <c r="AH392" s="14">
        <v>13213760</v>
      </c>
      <c r="AI392" s="14"/>
      <c r="AJ392" s="14">
        <v>13213760</v>
      </c>
      <c r="AK392" s="14"/>
      <c r="AL392" s="14">
        <v>13213760</v>
      </c>
      <c r="AM392" s="14"/>
      <c r="AN392" s="14">
        <v>13213760</v>
      </c>
      <c r="AO392" s="14"/>
      <c r="AP392" s="14">
        <v>13213760</v>
      </c>
      <c r="AQ392" s="14"/>
      <c r="AR392" s="14">
        <v>13213760</v>
      </c>
      <c r="AS392" s="14"/>
      <c r="AT392" s="14">
        <v>13213760</v>
      </c>
      <c r="AU392" s="25"/>
      <c r="AV392" s="25">
        <v>13213760</v>
      </c>
      <c r="AW392" s="25"/>
      <c r="AX392" s="25">
        <v>13213760</v>
      </c>
      <c r="AY392" s="25"/>
      <c r="AZ392" s="25">
        <v>18058806</v>
      </c>
      <c r="BA392" s="17"/>
      <c r="BB392" s="17"/>
      <c r="BC392" s="18">
        <f t="shared" si="251"/>
        <v>144029984</v>
      </c>
      <c r="BD392" s="18">
        <f t="shared" si="252"/>
        <v>144029984</v>
      </c>
      <c r="BE392" s="19">
        <f t="shared" si="253"/>
        <v>0</v>
      </c>
      <c r="BF392" s="20">
        <f t="shared" si="254"/>
        <v>0</v>
      </c>
      <c r="BG392" s="20">
        <f t="shared" si="255"/>
        <v>0</v>
      </c>
    </row>
    <row r="393" spans="1:59" ht="14.25" customHeight="1">
      <c r="A393" s="147" t="s">
        <v>59</v>
      </c>
      <c r="B393" s="147" t="s">
        <v>1057</v>
      </c>
      <c r="C393" s="151" t="s">
        <v>1058</v>
      </c>
      <c r="D393" s="151" t="s">
        <v>62</v>
      </c>
      <c r="E393" s="151">
        <v>9</v>
      </c>
      <c r="F393" s="149" t="s">
        <v>1089</v>
      </c>
      <c r="G393" s="147" t="s">
        <v>1078</v>
      </c>
      <c r="H393" s="147" t="s">
        <v>1079</v>
      </c>
      <c r="I393" s="147" t="s">
        <v>717</v>
      </c>
      <c r="J393" s="164">
        <v>93142104</v>
      </c>
      <c r="K393" s="147" t="s">
        <v>1080</v>
      </c>
      <c r="L393" s="147" t="s">
        <v>248</v>
      </c>
      <c r="M393" s="147" t="s">
        <v>1090</v>
      </c>
      <c r="N393" s="147" t="s">
        <v>85</v>
      </c>
      <c r="O393" s="147" t="s">
        <v>86</v>
      </c>
      <c r="P393" s="147" t="s">
        <v>99</v>
      </c>
      <c r="Q393" s="147">
        <v>8</v>
      </c>
      <c r="R393" s="147" t="s">
        <v>72</v>
      </c>
      <c r="S393" s="147" t="s">
        <v>478</v>
      </c>
      <c r="T393" s="147" t="s">
        <v>74</v>
      </c>
      <c r="U393" s="148">
        <v>300160000</v>
      </c>
      <c r="V393" s="148">
        <v>300160000</v>
      </c>
      <c r="W393" s="147" t="s">
        <v>75</v>
      </c>
      <c r="X393" s="147" t="s">
        <v>67</v>
      </c>
      <c r="Y393" s="147" t="s">
        <v>1064</v>
      </c>
      <c r="Z393" s="147" t="s">
        <v>1065</v>
      </c>
      <c r="AA393" s="147">
        <v>6012220601</v>
      </c>
      <c r="AB393" s="160" t="s">
        <v>1066</v>
      </c>
      <c r="AC393" s="14"/>
      <c r="AD393" s="14"/>
      <c r="AE393" s="14"/>
      <c r="AF393" s="14"/>
      <c r="AG393" s="14"/>
      <c r="AH393" s="14"/>
      <c r="AI393" s="14">
        <v>300000000</v>
      </c>
      <c r="AJ393" s="14"/>
      <c r="AK393" s="14"/>
      <c r="AL393" s="14"/>
      <c r="AM393" s="14"/>
      <c r="AN393" s="14">
        <v>90000000</v>
      </c>
      <c r="AO393" s="14"/>
      <c r="AP393" s="14"/>
      <c r="AQ393" s="14"/>
      <c r="AR393" s="14"/>
      <c r="AS393" s="14"/>
      <c r="AT393" s="14">
        <v>120000000</v>
      </c>
      <c r="AU393" s="25"/>
      <c r="AV393" s="25"/>
      <c r="AW393" s="25"/>
      <c r="AX393" s="25"/>
      <c r="AY393" s="28"/>
      <c r="AZ393" s="28">
        <v>90000000</v>
      </c>
      <c r="BA393" s="33">
        <v>160000</v>
      </c>
      <c r="BB393" s="33">
        <v>160000</v>
      </c>
      <c r="BC393" s="18">
        <f t="shared" si="251"/>
        <v>300160000</v>
      </c>
      <c r="BD393" s="18">
        <f t="shared" si="252"/>
        <v>300160000</v>
      </c>
      <c r="BE393" s="19">
        <f t="shared" si="253"/>
        <v>0</v>
      </c>
      <c r="BF393" s="20">
        <f t="shared" si="254"/>
        <v>0</v>
      </c>
      <c r="BG393" s="20">
        <f t="shared" si="255"/>
        <v>0</v>
      </c>
    </row>
    <row r="394" spans="1:59" ht="14.25" customHeight="1">
      <c r="A394" s="147" t="s">
        <v>59</v>
      </c>
      <c r="B394" s="147" t="s">
        <v>1057</v>
      </c>
      <c r="C394" s="151" t="s">
        <v>1058</v>
      </c>
      <c r="D394" s="151" t="s">
        <v>62</v>
      </c>
      <c r="E394" s="151">
        <v>13</v>
      </c>
      <c r="F394" s="149" t="s">
        <v>1091</v>
      </c>
      <c r="G394" s="147" t="s">
        <v>1078</v>
      </c>
      <c r="H394" s="147" t="s">
        <v>1079</v>
      </c>
      <c r="I394" s="147" t="s">
        <v>1092</v>
      </c>
      <c r="J394" s="164">
        <v>93142104</v>
      </c>
      <c r="K394" s="147" t="s">
        <v>1080</v>
      </c>
      <c r="L394" s="147" t="s">
        <v>248</v>
      </c>
      <c r="M394" s="147" t="s">
        <v>1093</v>
      </c>
      <c r="N394" s="147" t="s">
        <v>85</v>
      </c>
      <c r="O394" s="147" t="s">
        <v>86</v>
      </c>
      <c r="P394" s="147" t="s">
        <v>99</v>
      </c>
      <c r="Q394" s="147">
        <v>8</v>
      </c>
      <c r="R394" s="147" t="s">
        <v>72</v>
      </c>
      <c r="S394" s="147" t="s">
        <v>478</v>
      </c>
      <c r="T394" s="147" t="s">
        <v>74</v>
      </c>
      <c r="U394" s="148">
        <v>0</v>
      </c>
      <c r="V394" s="148">
        <v>0</v>
      </c>
      <c r="W394" s="147" t="s">
        <v>75</v>
      </c>
      <c r="X394" s="147" t="s">
        <v>67</v>
      </c>
      <c r="Y394" s="147" t="s">
        <v>1064</v>
      </c>
      <c r="Z394" s="147" t="s">
        <v>1065</v>
      </c>
      <c r="AA394" s="147">
        <v>6012220601</v>
      </c>
      <c r="AB394" s="160" t="s">
        <v>1066</v>
      </c>
      <c r="AC394" s="14"/>
      <c r="AD394" s="14"/>
      <c r="AE394" s="14"/>
      <c r="AF394" s="14"/>
      <c r="AG394" s="14"/>
      <c r="AH394" s="14"/>
      <c r="AI394" s="14"/>
      <c r="AJ394" s="14"/>
      <c r="AK394" s="14"/>
      <c r="AL394" s="14"/>
      <c r="AM394" s="14"/>
      <c r="AN394" s="14"/>
      <c r="AO394" s="14"/>
      <c r="AP394" s="14"/>
      <c r="AQ394" s="14"/>
      <c r="AR394" s="14"/>
      <c r="AS394" s="14"/>
      <c r="AT394" s="14"/>
      <c r="AU394" s="25"/>
      <c r="AV394" s="25"/>
      <c r="AW394" s="25"/>
      <c r="AX394" s="25"/>
      <c r="AY394" s="25"/>
      <c r="AZ394" s="25"/>
      <c r="BA394" s="17"/>
      <c r="BB394" s="17"/>
      <c r="BC394" s="18">
        <f t="shared" si="251"/>
        <v>0</v>
      </c>
      <c r="BD394" s="18">
        <f t="shared" si="252"/>
        <v>0</v>
      </c>
      <c r="BE394" s="19">
        <f t="shared" si="253"/>
        <v>0</v>
      </c>
      <c r="BF394" s="20">
        <f t="shared" si="254"/>
        <v>0</v>
      </c>
      <c r="BG394" s="20">
        <f t="shared" si="255"/>
        <v>0</v>
      </c>
    </row>
    <row r="395" spans="1:59" ht="14.25" customHeight="1">
      <c r="A395" s="147" t="s">
        <v>59</v>
      </c>
      <c r="B395" s="147" t="s">
        <v>1057</v>
      </c>
      <c r="C395" s="151" t="s">
        <v>1058</v>
      </c>
      <c r="D395" s="151" t="s">
        <v>62</v>
      </c>
      <c r="E395" s="151">
        <v>21</v>
      </c>
      <c r="F395" s="149" t="s">
        <v>1094</v>
      </c>
      <c r="G395" s="147" t="s">
        <v>1083</v>
      </c>
      <c r="H395" s="147" t="s">
        <v>1084</v>
      </c>
      <c r="I395" s="147" t="s">
        <v>288</v>
      </c>
      <c r="J395" s="164">
        <v>81101516</v>
      </c>
      <c r="K395" s="147" t="s">
        <v>1085</v>
      </c>
      <c r="L395" s="147" t="s">
        <v>248</v>
      </c>
      <c r="M395" s="147" t="s">
        <v>1095</v>
      </c>
      <c r="N395" s="147" t="s">
        <v>127</v>
      </c>
      <c r="O395" s="147" t="s">
        <v>128</v>
      </c>
      <c r="P395" s="147" t="s">
        <v>100</v>
      </c>
      <c r="Q395" s="147">
        <v>6</v>
      </c>
      <c r="R395" s="147" t="s">
        <v>72</v>
      </c>
      <c r="S395" s="147" t="s">
        <v>478</v>
      </c>
      <c r="T395" s="147" t="s">
        <v>74</v>
      </c>
      <c r="U395" s="148">
        <v>450240000</v>
      </c>
      <c r="V395" s="148">
        <v>450240000</v>
      </c>
      <c r="W395" s="147" t="s">
        <v>75</v>
      </c>
      <c r="X395" s="147" t="s">
        <v>67</v>
      </c>
      <c r="Y395" s="147" t="s">
        <v>1064</v>
      </c>
      <c r="Z395" s="147" t="s">
        <v>1065</v>
      </c>
      <c r="AA395" s="147">
        <v>6012220601</v>
      </c>
      <c r="AB395" s="160" t="s">
        <v>1066</v>
      </c>
      <c r="AC395" s="14"/>
      <c r="AD395" s="14"/>
      <c r="AE395" s="14"/>
      <c r="AF395" s="14"/>
      <c r="AG395" s="14"/>
      <c r="AH395" s="14"/>
      <c r="AI395" s="14"/>
      <c r="AJ395" s="14"/>
      <c r="AK395" s="14"/>
      <c r="AL395" s="14"/>
      <c r="AM395" s="14"/>
      <c r="AN395" s="14"/>
      <c r="AO395" s="14"/>
      <c r="AP395" s="14"/>
      <c r="AQ395" s="14"/>
      <c r="AR395" s="14"/>
      <c r="AS395" s="14"/>
      <c r="AT395" s="14"/>
      <c r="AU395" s="28">
        <v>450240000</v>
      </c>
      <c r="AV395" s="28">
        <v>225120000</v>
      </c>
      <c r="AW395" s="25"/>
      <c r="AX395" s="28">
        <v>225120000</v>
      </c>
      <c r="AY395" s="25"/>
      <c r="AZ395" s="25"/>
      <c r="BA395" s="17"/>
      <c r="BB395" s="17"/>
      <c r="BC395" s="18">
        <f t="shared" si="251"/>
        <v>450240000</v>
      </c>
      <c r="BD395" s="18">
        <f t="shared" si="252"/>
        <v>450240000</v>
      </c>
      <c r="BE395" s="19">
        <f t="shared" si="253"/>
        <v>0</v>
      </c>
      <c r="BF395" s="20">
        <f t="shared" si="254"/>
        <v>0</v>
      </c>
      <c r="BG395" s="20">
        <f t="shared" si="255"/>
        <v>0</v>
      </c>
    </row>
    <row r="396" spans="1:59" ht="14.25" customHeight="1">
      <c r="A396" s="147" t="s">
        <v>59</v>
      </c>
      <c r="B396" s="147" t="s">
        <v>1057</v>
      </c>
      <c r="C396" s="151" t="s">
        <v>1058</v>
      </c>
      <c r="D396" s="151" t="s">
        <v>62</v>
      </c>
      <c r="E396" s="151">
        <v>21</v>
      </c>
      <c r="F396" s="149" t="s">
        <v>1096</v>
      </c>
      <c r="G396" s="147" t="s">
        <v>1083</v>
      </c>
      <c r="H396" s="147" t="s">
        <v>1084</v>
      </c>
      <c r="I396" s="147" t="s">
        <v>288</v>
      </c>
      <c r="J396" s="164">
        <v>81101516</v>
      </c>
      <c r="K396" s="147" t="s">
        <v>1085</v>
      </c>
      <c r="L396" s="147" t="s">
        <v>248</v>
      </c>
      <c r="M396" s="147" t="s">
        <v>1097</v>
      </c>
      <c r="N396" s="147" t="s">
        <v>127</v>
      </c>
      <c r="O396" s="147" t="s">
        <v>128</v>
      </c>
      <c r="P396" s="147" t="s">
        <v>100</v>
      </c>
      <c r="Q396" s="147">
        <v>6</v>
      </c>
      <c r="R396" s="147" t="s">
        <v>72</v>
      </c>
      <c r="S396" s="147" t="s">
        <v>478</v>
      </c>
      <c r="T396" s="147" t="s">
        <v>74</v>
      </c>
      <c r="U396" s="148">
        <v>300160000</v>
      </c>
      <c r="V396" s="148">
        <v>300160000</v>
      </c>
      <c r="W396" s="147" t="s">
        <v>75</v>
      </c>
      <c r="X396" s="147" t="s">
        <v>67</v>
      </c>
      <c r="Y396" s="147" t="s">
        <v>1064</v>
      </c>
      <c r="Z396" s="147" t="s">
        <v>1065</v>
      </c>
      <c r="AA396" s="147">
        <v>6012220601</v>
      </c>
      <c r="AB396" s="160" t="s">
        <v>1066</v>
      </c>
      <c r="AC396" s="14"/>
      <c r="AD396" s="14"/>
      <c r="AE396" s="14"/>
      <c r="AF396" s="14"/>
      <c r="AG396" s="14"/>
      <c r="AH396" s="14"/>
      <c r="AI396" s="14"/>
      <c r="AJ396" s="14"/>
      <c r="AK396" s="14"/>
      <c r="AL396" s="14"/>
      <c r="AM396" s="14"/>
      <c r="AN396" s="14"/>
      <c r="AO396" s="14"/>
      <c r="AP396" s="14"/>
      <c r="AQ396" s="14"/>
      <c r="AR396" s="14"/>
      <c r="AS396" s="14"/>
      <c r="AT396" s="14"/>
      <c r="AU396" s="28">
        <v>300160000</v>
      </c>
      <c r="AV396" s="25"/>
      <c r="AW396" s="25"/>
      <c r="AX396" s="25">
        <v>75040000</v>
      </c>
      <c r="AY396" s="25"/>
      <c r="AZ396" s="28">
        <v>225120000</v>
      </c>
      <c r="BA396" s="17"/>
      <c r="BB396" s="17"/>
      <c r="BC396" s="18">
        <f t="shared" si="251"/>
        <v>300160000</v>
      </c>
      <c r="BD396" s="18">
        <f t="shared" si="252"/>
        <v>300160000</v>
      </c>
      <c r="BE396" s="19">
        <f t="shared" si="253"/>
        <v>0</v>
      </c>
      <c r="BF396" s="20">
        <f t="shared" si="254"/>
        <v>0</v>
      </c>
      <c r="BG396" s="20">
        <f t="shared" si="255"/>
        <v>0</v>
      </c>
    </row>
    <row r="397" spans="1:59" ht="14.25" customHeight="1">
      <c r="A397" s="147" t="s">
        <v>59</v>
      </c>
      <c r="B397" s="147" t="s">
        <v>1057</v>
      </c>
      <c r="C397" s="151" t="s">
        <v>1058</v>
      </c>
      <c r="D397" s="151" t="s">
        <v>62</v>
      </c>
      <c r="E397" s="151">
        <v>40</v>
      </c>
      <c r="F397" s="149" t="s">
        <v>1098</v>
      </c>
      <c r="G397" s="147" t="s">
        <v>1060</v>
      </c>
      <c r="H397" s="147" t="s">
        <v>1061</v>
      </c>
      <c r="I397" s="147" t="s">
        <v>737</v>
      </c>
      <c r="J397" s="164" t="s">
        <v>1099</v>
      </c>
      <c r="K397" s="147" t="s">
        <v>1062</v>
      </c>
      <c r="L397" s="147" t="s">
        <v>248</v>
      </c>
      <c r="M397" s="147" t="s">
        <v>1100</v>
      </c>
      <c r="N397" s="147" t="s">
        <v>86</v>
      </c>
      <c r="O397" s="147" t="s">
        <v>99</v>
      </c>
      <c r="P397" s="147" t="s">
        <v>127</v>
      </c>
      <c r="Q397" s="147">
        <v>7</v>
      </c>
      <c r="R397" s="147" t="s">
        <v>72</v>
      </c>
      <c r="S397" s="147" t="s">
        <v>478</v>
      </c>
      <c r="T397" s="147" t="s">
        <v>74</v>
      </c>
      <c r="U397" s="148">
        <v>1190820000</v>
      </c>
      <c r="V397" s="148">
        <v>1190820000</v>
      </c>
      <c r="W397" s="147" t="s">
        <v>75</v>
      </c>
      <c r="X397" s="147" t="s">
        <v>67</v>
      </c>
      <c r="Y397" s="147" t="s">
        <v>1064</v>
      </c>
      <c r="Z397" s="147" t="s">
        <v>1065</v>
      </c>
      <c r="AA397" s="147">
        <v>6012220601</v>
      </c>
      <c r="AB397" s="160" t="s">
        <v>1066</v>
      </c>
      <c r="AC397" s="14"/>
      <c r="AD397" s="14"/>
      <c r="AE397" s="14"/>
      <c r="AF397" s="14"/>
      <c r="AG397" s="14"/>
      <c r="AH397" s="14"/>
      <c r="AI397" s="14"/>
      <c r="AJ397" s="14"/>
      <c r="AK397" s="14"/>
      <c r="AL397" s="14"/>
      <c r="AM397" s="14"/>
      <c r="AN397" s="14"/>
      <c r="AO397" s="14">
        <v>1190820000</v>
      </c>
      <c r="AP397" s="14"/>
      <c r="AQ397" s="14"/>
      <c r="AR397" s="14"/>
      <c r="AS397" s="14"/>
      <c r="AT397" s="14"/>
      <c r="AU397" s="25"/>
      <c r="AV397" s="25">
        <v>840000000</v>
      </c>
      <c r="AW397" s="25"/>
      <c r="AX397" s="25"/>
      <c r="AY397" s="25"/>
      <c r="AZ397" s="25">
        <v>350820000</v>
      </c>
      <c r="BA397" s="17"/>
      <c r="BB397" s="17"/>
      <c r="BC397" s="18">
        <f t="shared" si="251"/>
        <v>1190820000</v>
      </c>
      <c r="BD397" s="18">
        <f t="shared" si="252"/>
        <v>1190820000</v>
      </c>
      <c r="BE397" s="19">
        <f t="shared" si="253"/>
        <v>0</v>
      </c>
      <c r="BF397" s="20">
        <f t="shared" si="254"/>
        <v>0</v>
      </c>
      <c r="BG397" s="20">
        <f t="shared" si="255"/>
        <v>0</v>
      </c>
    </row>
    <row r="398" spans="1:59" ht="14.25" customHeight="1">
      <c r="A398" s="147" t="s">
        <v>59</v>
      </c>
      <c r="B398" s="147" t="s">
        <v>1057</v>
      </c>
      <c r="C398" s="151" t="s">
        <v>1058</v>
      </c>
      <c r="D398" s="151" t="s">
        <v>62</v>
      </c>
      <c r="E398" s="151">
        <v>22</v>
      </c>
      <c r="F398" s="149" t="s">
        <v>1101</v>
      </c>
      <c r="G398" s="147" t="s">
        <v>1060</v>
      </c>
      <c r="H398" s="147" t="s">
        <v>1061</v>
      </c>
      <c r="I398" s="147" t="s">
        <v>737</v>
      </c>
      <c r="J398" s="164">
        <v>81101516</v>
      </c>
      <c r="K398" s="147" t="s">
        <v>1062</v>
      </c>
      <c r="L398" s="147" t="s">
        <v>248</v>
      </c>
      <c r="M398" s="147" t="s">
        <v>1102</v>
      </c>
      <c r="N398" s="147" t="s">
        <v>100</v>
      </c>
      <c r="O398" s="147" t="s">
        <v>142</v>
      </c>
      <c r="P398" s="147" t="s">
        <v>71</v>
      </c>
      <c r="Q398" s="147">
        <v>4</v>
      </c>
      <c r="R398" s="147" t="s">
        <v>72</v>
      </c>
      <c r="S398" s="147" t="s">
        <v>478</v>
      </c>
      <c r="T398" s="147" t="s">
        <v>74</v>
      </c>
      <c r="U398" s="148">
        <v>374006384</v>
      </c>
      <c r="V398" s="148">
        <v>374006384</v>
      </c>
      <c r="W398" s="147" t="s">
        <v>75</v>
      </c>
      <c r="X398" s="147" t="s">
        <v>67</v>
      </c>
      <c r="Y398" s="147" t="s">
        <v>1064</v>
      </c>
      <c r="Z398" s="147" t="s">
        <v>1065</v>
      </c>
      <c r="AA398" s="147">
        <v>6012220601</v>
      </c>
      <c r="AB398" s="160" t="s">
        <v>1066</v>
      </c>
      <c r="AC398" s="14"/>
      <c r="AD398" s="14"/>
      <c r="AE398" s="14"/>
      <c r="AF398" s="14"/>
      <c r="AG398" s="14"/>
      <c r="AH398" s="14"/>
      <c r="AI398" s="14"/>
      <c r="AJ398" s="14"/>
      <c r="AK398" s="14"/>
      <c r="AL398" s="14"/>
      <c r="AM398" s="14"/>
      <c r="AN398" s="14"/>
      <c r="AO398" s="14"/>
      <c r="AP398" s="14"/>
      <c r="AQ398" s="14"/>
      <c r="AR398" s="14"/>
      <c r="AS398" s="14">
        <v>371994000</v>
      </c>
      <c r="AT398" s="14"/>
      <c r="AU398" s="25"/>
      <c r="AV398" s="25">
        <v>112201915</v>
      </c>
      <c r="AW398" s="25"/>
      <c r="AX398" s="25"/>
      <c r="AY398" s="25"/>
      <c r="AZ398" s="28">
        <v>259792085</v>
      </c>
      <c r="BA398" s="33">
        <v>2012384</v>
      </c>
      <c r="BB398" s="33">
        <v>2012384</v>
      </c>
      <c r="BC398" s="18">
        <f t="shared" si="251"/>
        <v>374006384</v>
      </c>
      <c r="BD398" s="18">
        <f t="shared" si="252"/>
        <v>374006384</v>
      </c>
      <c r="BE398" s="19">
        <f t="shared" si="253"/>
        <v>0</v>
      </c>
      <c r="BF398" s="20">
        <f t="shared" si="254"/>
        <v>0</v>
      </c>
      <c r="BG398" s="20">
        <f t="shared" si="255"/>
        <v>0</v>
      </c>
    </row>
    <row r="399" spans="1:59" ht="14.25" customHeight="1">
      <c r="A399" s="147" t="s">
        <v>59</v>
      </c>
      <c r="B399" s="147" t="s">
        <v>1057</v>
      </c>
      <c r="C399" s="151" t="s">
        <v>1058</v>
      </c>
      <c r="D399" s="151" t="s">
        <v>62</v>
      </c>
      <c r="E399" s="151">
        <v>13</v>
      </c>
      <c r="F399" s="149" t="s">
        <v>1103</v>
      </c>
      <c r="G399" s="147" t="s">
        <v>1078</v>
      </c>
      <c r="H399" s="147" t="s">
        <v>1079</v>
      </c>
      <c r="I399" s="147" t="s">
        <v>1092</v>
      </c>
      <c r="J399" s="164">
        <v>80111620</v>
      </c>
      <c r="K399" s="147" t="s">
        <v>1080</v>
      </c>
      <c r="L399" s="147" t="s">
        <v>83</v>
      </c>
      <c r="M399" s="147" t="s">
        <v>1104</v>
      </c>
      <c r="N399" s="147" t="s">
        <v>91</v>
      </c>
      <c r="O399" s="147" t="s">
        <v>91</v>
      </c>
      <c r="P399" s="147" t="s">
        <v>91</v>
      </c>
      <c r="Q399" s="147">
        <v>11</v>
      </c>
      <c r="R399" s="147" t="s">
        <v>72</v>
      </c>
      <c r="S399" s="147" t="s">
        <v>73</v>
      </c>
      <c r="T399" s="147" t="s">
        <v>74</v>
      </c>
      <c r="U399" s="148">
        <v>98971950</v>
      </c>
      <c r="V399" s="148">
        <v>98971950</v>
      </c>
      <c r="W399" s="147" t="s">
        <v>75</v>
      </c>
      <c r="X399" s="147" t="s">
        <v>67</v>
      </c>
      <c r="Y399" s="147" t="s">
        <v>1064</v>
      </c>
      <c r="Z399" s="147" t="s">
        <v>1065</v>
      </c>
      <c r="AA399" s="147">
        <v>6012220601</v>
      </c>
      <c r="AB399" s="160" t="s">
        <v>1066</v>
      </c>
      <c r="AC399" s="14">
        <v>98971950</v>
      </c>
      <c r="AD399" s="14"/>
      <c r="AE399" s="14"/>
      <c r="AF399" s="14"/>
      <c r="AG399" s="14"/>
      <c r="AH399" s="14">
        <v>8997450</v>
      </c>
      <c r="AI399" s="14"/>
      <c r="AJ399" s="14">
        <v>8997450</v>
      </c>
      <c r="AK399" s="14"/>
      <c r="AL399" s="14">
        <v>8997450</v>
      </c>
      <c r="AM399" s="14"/>
      <c r="AN399" s="14">
        <v>8997450</v>
      </c>
      <c r="AO399" s="14"/>
      <c r="AP399" s="14">
        <v>8997450</v>
      </c>
      <c r="AQ399" s="14"/>
      <c r="AR399" s="14">
        <v>8997450</v>
      </c>
      <c r="AS399" s="14"/>
      <c r="AT399" s="14">
        <v>8997450</v>
      </c>
      <c r="AU399" s="25"/>
      <c r="AV399" s="25">
        <v>8997450</v>
      </c>
      <c r="AW399" s="25"/>
      <c r="AX399" s="25">
        <v>8997450</v>
      </c>
      <c r="AY399" s="25"/>
      <c r="AZ399" s="28">
        <v>17994900</v>
      </c>
      <c r="BA399" s="17"/>
      <c r="BB399" s="17"/>
      <c r="BC399" s="18">
        <f t="shared" si="251"/>
        <v>98971950</v>
      </c>
      <c r="BD399" s="18">
        <f t="shared" si="252"/>
        <v>98971950</v>
      </c>
      <c r="BE399" s="19">
        <f t="shared" si="253"/>
        <v>0</v>
      </c>
      <c r="BF399" s="20">
        <f t="shared" si="254"/>
        <v>0</v>
      </c>
      <c r="BG399" s="20">
        <f t="shared" si="255"/>
        <v>0</v>
      </c>
    </row>
    <row r="400" spans="1:59" ht="14.25" customHeight="1">
      <c r="A400" s="147" t="s">
        <v>59</v>
      </c>
      <c r="B400" s="147" t="s">
        <v>1057</v>
      </c>
      <c r="C400" s="151" t="s">
        <v>1058</v>
      </c>
      <c r="D400" s="151" t="s">
        <v>62</v>
      </c>
      <c r="E400" s="151">
        <v>2</v>
      </c>
      <c r="F400" s="149" t="s">
        <v>1105</v>
      </c>
      <c r="G400" s="147" t="s">
        <v>1078</v>
      </c>
      <c r="H400" s="147" t="s">
        <v>1079</v>
      </c>
      <c r="I400" s="147" t="s">
        <v>1092</v>
      </c>
      <c r="J400" s="164">
        <v>80111620</v>
      </c>
      <c r="K400" s="147" t="s">
        <v>1080</v>
      </c>
      <c r="L400" s="147" t="s">
        <v>83</v>
      </c>
      <c r="M400" s="147" t="s">
        <v>1106</v>
      </c>
      <c r="N400" s="147" t="s">
        <v>91</v>
      </c>
      <c r="O400" s="147" t="s">
        <v>91</v>
      </c>
      <c r="P400" s="147" t="s">
        <v>91</v>
      </c>
      <c r="Q400" s="147">
        <v>11</v>
      </c>
      <c r="R400" s="147" t="s">
        <v>72</v>
      </c>
      <c r="S400" s="147" t="s">
        <v>73</v>
      </c>
      <c r="T400" s="147" t="s">
        <v>74</v>
      </c>
      <c r="U400" s="148">
        <v>137500000</v>
      </c>
      <c r="V400" s="148">
        <v>137500000</v>
      </c>
      <c r="W400" s="147" t="s">
        <v>75</v>
      </c>
      <c r="X400" s="147" t="s">
        <v>67</v>
      </c>
      <c r="Y400" s="147" t="s">
        <v>1064</v>
      </c>
      <c r="Z400" s="147" t="s">
        <v>1065</v>
      </c>
      <c r="AA400" s="147">
        <v>6012220601</v>
      </c>
      <c r="AB400" s="160" t="s">
        <v>1066</v>
      </c>
      <c r="AC400" s="14">
        <v>137500000</v>
      </c>
      <c r="AD400" s="14"/>
      <c r="AE400" s="14"/>
      <c r="AF400" s="14"/>
      <c r="AG400" s="14"/>
      <c r="AH400" s="14">
        <v>12911500</v>
      </c>
      <c r="AI400" s="14"/>
      <c r="AJ400" s="14">
        <v>12911500</v>
      </c>
      <c r="AK400" s="14"/>
      <c r="AL400" s="14">
        <v>12911500</v>
      </c>
      <c r="AM400" s="14"/>
      <c r="AN400" s="14">
        <v>12911500</v>
      </c>
      <c r="AO400" s="14"/>
      <c r="AP400" s="14">
        <v>12911500</v>
      </c>
      <c r="AQ400" s="14"/>
      <c r="AR400" s="14">
        <v>12911500</v>
      </c>
      <c r="AS400" s="14"/>
      <c r="AT400" s="14">
        <v>12911500</v>
      </c>
      <c r="AU400" s="25"/>
      <c r="AV400" s="28">
        <v>12500000</v>
      </c>
      <c r="AW400" s="25"/>
      <c r="AX400" s="28">
        <v>12500000</v>
      </c>
      <c r="AY400" s="25"/>
      <c r="AZ400" s="28">
        <v>22119500</v>
      </c>
      <c r="BA400" s="17"/>
      <c r="BB400" s="17"/>
      <c r="BC400" s="18">
        <f t="shared" si="251"/>
        <v>137500000</v>
      </c>
      <c r="BD400" s="18">
        <f t="shared" si="252"/>
        <v>137500000</v>
      </c>
      <c r="BE400" s="19">
        <f t="shared" si="253"/>
        <v>0</v>
      </c>
      <c r="BF400" s="20">
        <f t="shared" si="254"/>
        <v>0</v>
      </c>
      <c r="BG400" s="20">
        <f t="shared" si="255"/>
        <v>0</v>
      </c>
    </row>
    <row r="401" spans="1:59" ht="14.25" customHeight="1">
      <c r="A401" s="147" t="s">
        <v>59</v>
      </c>
      <c r="B401" s="147" t="s">
        <v>1057</v>
      </c>
      <c r="C401" s="151" t="s">
        <v>1058</v>
      </c>
      <c r="D401" s="151" t="s">
        <v>62</v>
      </c>
      <c r="E401" s="151">
        <v>2</v>
      </c>
      <c r="F401" s="149" t="s">
        <v>1107</v>
      </c>
      <c r="G401" s="147" t="s">
        <v>1083</v>
      </c>
      <c r="H401" s="147" t="s">
        <v>1084</v>
      </c>
      <c r="I401" s="147" t="s">
        <v>296</v>
      </c>
      <c r="J401" s="164">
        <v>80111620</v>
      </c>
      <c r="K401" s="147" t="s">
        <v>1085</v>
      </c>
      <c r="L401" s="147" t="s">
        <v>83</v>
      </c>
      <c r="M401" s="147" t="s">
        <v>1108</v>
      </c>
      <c r="N401" s="147" t="s">
        <v>91</v>
      </c>
      <c r="O401" s="147" t="s">
        <v>91</v>
      </c>
      <c r="P401" s="147" t="s">
        <v>91</v>
      </c>
      <c r="Q401" s="147">
        <v>11</v>
      </c>
      <c r="R401" s="147" t="s">
        <v>72</v>
      </c>
      <c r="S401" s="147" t="s">
        <v>73</v>
      </c>
      <c r="T401" s="147" t="s">
        <v>74</v>
      </c>
      <c r="U401" s="148">
        <v>4526500</v>
      </c>
      <c r="V401" s="148">
        <v>4526500</v>
      </c>
      <c r="W401" s="147" t="s">
        <v>75</v>
      </c>
      <c r="X401" s="147" t="s">
        <v>67</v>
      </c>
      <c r="Y401" s="147" t="s">
        <v>1064</v>
      </c>
      <c r="Z401" s="147" t="s">
        <v>1065</v>
      </c>
      <c r="AA401" s="147">
        <v>6012220601</v>
      </c>
      <c r="AB401" s="160" t="s">
        <v>1066</v>
      </c>
      <c r="AC401" s="14">
        <v>4526500</v>
      </c>
      <c r="AD401" s="14"/>
      <c r="AE401" s="14"/>
      <c r="AF401" s="14"/>
      <c r="AG401" s="14"/>
      <c r="AH401" s="14"/>
      <c r="AI401" s="14"/>
      <c r="AJ401" s="14"/>
      <c r="AK401" s="14"/>
      <c r="AL401" s="14"/>
      <c r="AM401" s="14"/>
      <c r="AN401" s="14"/>
      <c r="AO401" s="14"/>
      <c r="AP401" s="14"/>
      <c r="AQ401" s="14"/>
      <c r="AR401" s="14"/>
      <c r="AS401" s="14"/>
      <c r="AT401" s="14"/>
      <c r="AU401" s="25"/>
      <c r="AV401" s="28">
        <v>411500</v>
      </c>
      <c r="AW401" s="25"/>
      <c r="AX401" s="28">
        <v>411500</v>
      </c>
      <c r="AY401" s="25"/>
      <c r="AZ401" s="28">
        <v>3703500</v>
      </c>
      <c r="BA401" s="17"/>
      <c r="BB401" s="17"/>
      <c r="BC401" s="18">
        <f t="shared" si="251"/>
        <v>4526500</v>
      </c>
      <c r="BD401" s="18">
        <f t="shared" si="252"/>
        <v>4526500</v>
      </c>
      <c r="BE401" s="19">
        <f t="shared" si="253"/>
        <v>0</v>
      </c>
      <c r="BF401" s="20">
        <f t="shared" si="254"/>
        <v>0</v>
      </c>
      <c r="BG401" s="20">
        <f t="shared" si="255"/>
        <v>0</v>
      </c>
    </row>
    <row r="402" spans="1:59" ht="30">
      <c r="A402" s="147" t="s">
        <v>59</v>
      </c>
      <c r="B402" s="147" t="s">
        <v>1057</v>
      </c>
      <c r="C402" s="151" t="s">
        <v>1058</v>
      </c>
      <c r="D402" s="151" t="s">
        <v>62</v>
      </c>
      <c r="E402" s="151">
        <v>40</v>
      </c>
      <c r="F402" s="149" t="s">
        <v>1109</v>
      </c>
      <c r="G402" s="147" t="s">
        <v>1083</v>
      </c>
      <c r="H402" s="147" t="s">
        <v>1084</v>
      </c>
      <c r="I402" s="147" t="s">
        <v>296</v>
      </c>
      <c r="J402" s="173">
        <v>78111502</v>
      </c>
      <c r="K402" s="147" t="s">
        <v>1085</v>
      </c>
      <c r="L402" s="147" t="s">
        <v>562</v>
      </c>
      <c r="M402" s="147" t="s">
        <v>1110</v>
      </c>
      <c r="N402" s="147" t="s">
        <v>128</v>
      </c>
      <c r="O402" s="147" t="s">
        <v>128</v>
      </c>
      <c r="P402" s="147" t="s">
        <v>128</v>
      </c>
      <c r="Q402" s="147">
        <v>6.5</v>
      </c>
      <c r="R402" s="147" t="s">
        <v>72</v>
      </c>
      <c r="S402" s="147" t="s">
        <v>536</v>
      </c>
      <c r="T402" s="147" t="s">
        <v>74</v>
      </c>
      <c r="U402" s="177">
        <v>20317600</v>
      </c>
      <c r="V402" s="177">
        <v>20317600</v>
      </c>
      <c r="W402" s="147" t="s">
        <v>75</v>
      </c>
      <c r="X402" s="147" t="s">
        <v>67</v>
      </c>
      <c r="Y402" s="147" t="s">
        <v>1064</v>
      </c>
      <c r="Z402" s="147" t="s">
        <v>1065</v>
      </c>
      <c r="AA402" s="147">
        <v>6012220601</v>
      </c>
      <c r="AB402" s="160" t="s">
        <v>1066</v>
      </c>
      <c r="AC402" s="14"/>
      <c r="AD402" s="14"/>
      <c r="AE402" s="14"/>
      <c r="AF402" s="14"/>
      <c r="AG402" s="14"/>
      <c r="AH402" s="14"/>
      <c r="AI402" s="14"/>
      <c r="AJ402" s="14"/>
      <c r="AK402" s="14"/>
      <c r="AL402" s="14"/>
      <c r="AM402" s="14">
        <v>20000000</v>
      </c>
      <c r="AN402" s="14"/>
      <c r="AO402" s="14"/>
      <c r="AP402" s="14">
        <v>2590646</v>
      </c>
      <c r="AQ402" s="14"/>
      <c r="AR402" s="14"/>
      <c r="AS402" s="14"/>
      <c r="AT402" s="14">
        <v>1047606</v>
      </c>
      <c r="AU402" s="25"/>
      <c r="AV402" s="28">
        <v>4431738</v>
      </c>
      <c r="AW402" s="25"/>
      <c r="AX402" s="28">
        <v>4431738</v>
      </c>
      <c r="AY402" s="25"/>
      <c r="AZ402" s="28">
        <v>7498272</v>
      </c>
      <c r="BA402" s="33">
        <v>317600</v>
      </c>
      <c r="BB402" s="33">
        <v>317600</v>
      </c>
      <c r="BC402" s="18">
        <f t="shared" si="251"/>
        <v>20317600</v>
      </c>
      <c r="BD402" s="18">
        <f t="shared" si="252"/>
        <v>20317600</v>
      </c>
      <c r="BE402" s="19">
        <f t="shared" si="253"/>
        <v>0</v>
      </c>
      <c r="BF402" s="20">
        <f t="shared" si="254"/>
        <v>0</v>
      </c>
      <c r="BG402" s="20">
        <f t="shared" si="255"/>
        <v>0</v>
      </c>
    </row>
    <row r="403" spans="1:59" ht="16.5" customHeight="1">
      <c r="A403" s="147" t="s">
        <v>59</v>
      </c>
      <c r="B403" s="147" t="s">
        <v>1057</v>
      </c>
      <c r="C403" s="151" t="s">
        <v>1058</v>
      </c>
      <c r="D403" s="151" t="s">
        <v>62</v>
      </c>
      <c r="E403" s="151" t="s">
        <v>114</v>
      </c>
      <c r="F403" s="149" t="s">
        <v>1111</v>
      </c>
      <c r="G403" s="147" t="s">
        <v>1083</v>
      </c>
      <c r="H403" s="147" t="s">
        <v>1084</v>
      </c>
      <c r="I403" s="147" t="s">
        <v>296</v>
      </c>
      <c r="J403" s="164" t="s">
        <v>67</v>
      </c>
      <c r="K403" s="147" t="s">
        <v>1085</v>
      </c>
      <c r="L403" s="147" t="s">
        <v>275</v>
      </c>
      <c r="M403" s="147" t="s">
        <v>1112</v>
      </c>
      <c r="N403" s="147" t="s">
        <v>67</v>
      </c>
      <c r="O403" s="147" t="s">
        <v>67</v>
      </c>
      <c r="P403" s="147" t="s">
        <v>67</v>
      </c>
      <c r="Q403" s="147" t="s">
        <v>67</v>
      </c>
      <c r="R403" s="147" t="s">
        <v>67</v>
      </c>
      <c r="S403" s="147" t="s">
        <v>67</v>
      </c>
      <c r="T403" s="147" t="s">
        <v>74</v>
      </c>
      <c r="U403" s="148">
        <v>40000000</v>
      </c>
      <c r="V403" s="148">
        <v>40000000</v>
      </c>
      <c r="W403" s="147" t="s">
        <v>75</v>
      </c>
      <c r="X403" s="147" t="s">
        <v>67</v>
      </c>
      <c r="Y403" s="147" t="s">
        <v>1064</v>
      </c>
      <c r="Z403" s="147" t="s">
        <v>1065</v>
      </c>
      <c r="AA403" s="147">
        <v>6012220601</v>
      </c>
      <c r="AB403" s="160" t="s">
        <v>1066</v>
      </c>
      <c r="AC403" s="14"/>
      <c r="AD403" s="14"/>
      <c r="AE403" s="14"/>
      <c r="AF403" s="14"/>
      <c r="AG403" s="14">
        <f t="shared" ref="AG403:AH403" si="258">443878+ 811202</f>
        <v>1255080</v>
      </c>
      <c r="AH403" s="14">
        <f t="shared" si="258"/>
        <v>1255080</v>
      </c>
      <c r="AI403" s="14">
        <f>320796+ 1260580</f>
        <v>1581376</v>
      </c>
      <c r="AJ403" s="14">
        <v>320796</v>
      </c>
      <c r="AK403" s="14">
        <v>704838</v>
      </c>
      <c r="AL403" s="14">
        <f>1260580+ 704838</f>
        <v>1965418</v>
      </c>
      <c r="AM403" s="14">
        <v>1388718</v>
      </c>
      <c r="AN403" s="14">
        <v>1388718</v>
      </c>
      <c r="AO403" s="14"/>
      <c r="AP403" s="14"/>
      <c r="AQ403" s="14"/>
      <c r="AR403" s="14"/>
      <c r="AS403" s="14"/>
      <c r="AT403" s="14"/>
      <c r="AU403" s="28">
        <v>1500000</v>
      </c>
      <c r="AV403" s="28">
        <v>1500000</v>
      </c>
      <c r="AW403" s="28">
        <v>1500000</v>
      </c>
      <c r="AX403" s="28">
        <v>1500000</v>
      </c>
      <c r="AY403" s="28">
        <v>32069988</v>
      </c>
      <c r="AZ403" s="28">
        <v>32069988</v>
      </c>
      <c r="BA403" s="17"/>
      <c r="BB403" s="17"/>
      <c r="BC403" s="18">
        <f t="shared" si="251"/>
        <v>40000000</v>
      </c>
      <c r="BD403" s="18">
        <f t="shared" si="252"/>
        <v>40000000</v>
      </c>
      <c r="BE403" s="19">
        <f t="shared" si="253"/>
        <v>0</v>
      </c>
      <c r="BF403" s="20">
        <f t="shared" si="254"/>
        <v>0</v>
      </c>
      <c r="BG403" s="20">
        <f t="shared" si="255"/>
        <v>0</v>
      </c>
    </row>
    <row r="404" spans="1:59" ht="14.25" customHeight="1">
      <c r="A404" s="147" t="s">
        <v>59</v>
      </c>
      <c r="B404" s="147" t="s">
        <v>1057</v>
      </c>
      <c r="C404" s="151" t="s">
        <v>1058</v>
      </c>
      <c r="D404" s="151" t="s">
        <v>62</v>
      </c>
      <c r="E404" s="151">
        <v>40</v>
      </c>
      <c r="F404" s="149" t="s">
        <v>1113</v>
      </c>
      <c r="G404" s="147" t="s">
        <v>1078</v>
      </c>
      <c r="H404" s="147" t="s">
        <v>1079</v>
      </c>
      <c r="I404" s="147" t="s">
        <v>1092</v>
      </c>
      <c r="J404" s="164">
        <v>80111620</v>
      </c>
      <c r="K404" s="147" t="s">
        <v>1080</v>
      </c>
      <c r="L404" s="147" t="s">
        <v>83</v>
      </c>
      <c r="M404" s="147" t="s">
        <v>1114</v>
      </c>
      <c r="N404" s="147" t="s">
        <v>86</v>
      </c>
      <c r="O404" s="147" t="s">
        <v>86</v>
      </c>
      <c r="P404" s="147" t="s">
        <v>99</v>
      </c>
      <c r="Q404" s="147">
        <v>8.9</v>
      </c>
      <c r="R404" s="147" t="s">
        <v>72</v>
      </c>
      <c r="S404" s="147" t="s">
        <v>73</v>
      </c>
      <c r="T404" s="147" t="s">
        <v>74</v>
      </c>
      <c r="U404" s="148">
        <v>51101693</v>
      </c>
      <c r="V404" s="148">
        <v>51101693</v>
      </c>
      <c r="W404" s="147" t="s">
        <v>75</v>
      </c>
      <c r="X404" s="147" t="s">
        <v>67</v>
      </c>
      <c r="Y404" s="147" t="s">
        <v>1064</v>
      </c>
      <c r="Z404" s="147" t="s">
        <v>1065</v>
      </c>
      <c r="AA404" s="147">
        <v>6012220601</v>
      </c>
      <c r="AB404" s="160" t="s">
        <v>1066</v>
      </c>
      <c r="AC404" s="14"/>
      <c r="AD404" s="14"/>
      <c r="AE404" s="14"/>
      <c r="AF404" s="14"/>
      <c r="AG404" s="14"/>
      <c r="AH404" s="14"/>
      <c r="AI404" s="14"/>
      <c r="AJ404" s="14"/>
      <c r="AK404" s="14">
        <v>51800000</v>
      </c>
      <c r="AL404" s="14"/>
      <c r="AM404" s="14">
        <v>-2100000</v>
      </c>
      <c r="AN404" s="14">
        <v>700000</v>
      </c>
      <c r="AO404" s="14"/>
      <c r="AP404" s="14">
        <v>7000000</v>
      </c>
      <c r="AQ404" s="14"/>
      <c r="AR404" s="14">
        <v>7000000</v>
      </c>
      <c r="AS404" s="14"/>
      <c r="AT404" s="14">
        <v>7000000</v>
      </c>
      <c r="AU404" s="28"/>
      <c r="AV404" s="28">
        <v>7000000</v>
      </c>
      <c r="AW404" s="28"/>
      <c r="AX404" s="28">
        <v>7000000</v>
      </c>
      <c r="AY404" s="28"/>
      <c r="AZ404" s="28">
        <v>14000000</v>
      </c>
      <c r="BA404" s="33">
        <v>1401693</v>
      </c>
      <c r="BB404" s="33">
        <v>1401693</v>
      </c>
      <c r="BC404" s="18">
        <f t="shared" si="251"/>
        <v>51101693</v>
      </c>
      <c r="BD404" s="18">
        <f t="shared" si="252"/>
        <v>51101693</v>
      </c>
      <c r="BE404" s="19">
        <f t="shared" si="253"/>
        <v>0</v>
      </c>
      <c r="BF404" s="20">
        <f t="shared" si="254"/>
        <v>0</v>
      </c>
      <c r="BG404" s="20">
        <f t="shared" si="255"/>
        <v>0</v>
      </c>
    </row>
    <row r="405" spans="1:59" ht="14.25" customHeight="1">
      <c r="A405" s="147" t="s">
        <v>59</v>
      </c>
      <c r="B405" s="147" t="s">
        <v>1057</v>
      </c>
      <c r="C405" s="151" t="s">
        <v>1058</v>
      </c>
      <c r="D405" s="151" t="s">
        <v>62</v>
      </c>
      <c r="E405" s="151">
        <v>13</v>
      </c>
      <c r="F405" s="149" t="s">
        <v>1115</v>
      </c>
      <c r="G405" s="147" t="s">
        <v>1078</v>
      </c>
      <c r="H405" s="147" t="s">
        <v>1079</v>
      </c>
      <c r="I405" s="147" t="s">
        <v>1092</v>
      </c>
      <c r="J405" s="164">
        <v>43233501</v>
      </c>
      <c r="K405" s="147" t="s">
        <v>1080</v>
      </c>
      <c r="L405" s="147" t="s">
        <v>333</v>
      </c>
      <c r="M405" s="147" t="s">
        <v>1116</v>
      </c>
      <c r="N405" s="147" t="s">
        <v>100</v>
      </c>
      <c r="O405" s="147" t="s">
        <v>142</v>
      </c>
      <c r="P405" s="147" t="s">
        <v>71</v>
      </c>
      <c r="Q405" s="147">
        <v>12</v>
      </c>
      <c r="R405" s="147" t="s">
        <v>72</v>
      </c>
      <c r="S405" s="147" t="s">
        <v>143</v>
      </c>
      <c r="T405" s="147" t="s">
        <v>74</v>
      </c>
      <c r="U405" s="148">
        <v>10177130</v>
      </c>
      <c r="V405" s="148">
        <v>10177130</v>
      </c>
      <c r="W405" s="147" t="s">
        <v>75</v>
      </c>
      <c r="X405" s="147" t="s">
        <v>67</v>
      </c>
      <c r="Y405" s="147" t="s">
        <v>1064</v>
      </c>
      <c r="Z405" s="147" t="s">
        <v>1065</v>
      </c>
      <c r="AA405" s="147">
        <v>6012220601</v>
      </c>
      <c r="AB405" s="160" t="s">
        <v>1066</v>
      </c>
      <c r="AC405" s="14"/>
      <c r="AD405" s="14"/>
      <c r="AE405" s="14"/>
      <c r="AF405" s="14"/>
      <c r="AG405" s="14"/>
      <c r="AH405" s="14"/>
      <c r="AI405" s="14"/>
      <c r="AJ405" s="14"/>
      <c r="AK405" s="14"/>
      <c r="AL405" s="14"/>
      <c r="AM405" s="14"/>
      <c r="AN405" s="14"/>
      <c r="AO405" s="14"/>
      <c r="AP405" s="14"/>
      <c r="AQ405" s="14"/>
      <c r="AR405" s="14"/>
      <c r="AS405" s="14"/>
      <c r="AT405" s="14"/>
      <c r="AU405" s="28">
        <v>10177130</v>
      </c>
      <c r="AV405" s="28"/>
      <c r="AW405" s="28"/>
      <c r="AX405" s="28"/>
      <c r="AY405" s="28"/>
      <c r="AZ405" s="28">
        <v>10177130</v>
      </c>
      <c r="BA405" s="17"/>
      <c r="BB405" s="17"/>
      <c r="BC405" s="18">
        <f t="shared" si="251"/>
        <v>10177130</v>
      </c>
      <c r="BD405" s="18">
        <f t="shared" si="252"/>
        <v>10177130</v>
      </c>
      <c r="BE405" s="19">
        <f t="shared" si="253"/>
        <v>0</v>
      </c>
      <c r="BF405" s="20">
        <f t="shared" si="254"/>
        <v>0</v>
      </c>
      <c r="BG405" s="20">
        <f t="shared" si="255"/>
        <v>0</v>
      </c>
    </row>
    <row r="406" spans="1:59" ht="14.25" customHeight="1">
      <c r="A406" s="147" t="s">
        <v>59</v>
      </c>
      <c r="B406" s="147" t="s">
        <v>1057</v>
      </c>
      <c r="C406" s="151" t="s">
        <v>1058</v>
      </c>
      <c r="D406" s="151" t="s">
        <v>62</v>
      </c>
      <c r="E406" s="151">
        <v>13</v>
      </c>
      <c r="F406" s="149" t="s">
        <v>1117</v>
      </c>
      <c r="G406" s="147" t="s">
        <v>1060</v>
      </c>
      <c r="H406" s="147" t="s">
        <v>1061</v>
      </c>
      <c r="I406" s="147" t="s">
        <v>737</v>
      </c>
      <c r="J406" s="164">
        <v>43233501</v>
      </c>
      <c r="K406" s="147" t="s">
        <v>1062</v>
      </c>
      <c r="L406" s="147" t="s">
        <v>333</v>
      </c>
      <c r="M406" s="147" t="s">
        <v>1118</v>
      </c>
      <c r="N406" s="147" t="s">
        <v>100</v>
      </c>
      <c r="O406" s="147" t="s">
        <v>142</v>
      </c>
      <c r="P406" s="147" t="s">
        <v>71</v>
      </c>
      <c r="Q406" s="147">
        <v>12</v>
      </c>
      <c r="R406" s="147" t="s">
        <v>72</v>
      </c>
      <c r="S406" s="147" t="s">
        <v>143</v>
      </c>
      <c r="T406" s="147" t="s">
        <v>74</v>
      </c>
      <c r="U406" s="148">
        <v>13572510</v>
      </c>
      <c r="V406" s="148">
        <v>13572510</v>
      </c>
      <c r="W406" s="147" t="s">
        <v>75</v>
      </c>
      <c r="X406" s="147" t="s">
        <v>67</v>
      </c>
      <c r="Y406" s="147" t="s">
        <v>1064</v>
      </c>
      <c r="Z406" s="147" t="s">
        <v>1065</v>
      </c>
      <c r="AA406" s="147">
        <v>6012220601</v>
      </c>
      <c r="AB406" s="160" t="s">
        <v>1066</v>
      </c>
      <c r="AC406" s="14"/>
      <c r="AD406" s="14"/>
      <c r="AE406" s="14"/>
      <c r="AF406" s="14"/>
      <c r="AG406" s="14"/>
      <c r="AH406" s="14"/>
      <c r="AI406" s="14"/>
      <c r="AJ406" s="14"/>
      <c r="AK406" s="14"/>
      <c r="AL406" s="14"/>
      <c r="AM406" s="14"/>
      <c r="AN406" s="14"/>
      <c r="AO406" s="14"/>
      <c r="AP406" s="14"/>
      <c r="AQ406" s="14"/>
      <c r="AR406" s="14"/>
      <c r="AS406" s="14"/>
      <c r="AT406" s="14"/>
      <c r="AU406" s="28">
        <v>13572510</v>
      </c>
      <c r="AV406" s="28"/>
      <c r="AW406" s="28"/>
      <c r="AX406" s="28"/>
      <c r="AY406" s="28"/>
      <c r="AZ406" s="28">
        <v>13572510</v>
      </c>
      <c r="BA406" s="17"/>
      <c r="BB406" s="17"/>
      <c r="BC406" s="18">
        <f t="shared" si="251"/>
        <v>13572510</v>
      </c>
      <c r="BD406" s="18">
        <f t="shared" si="252"/>
        <v>13572510</v>
      </c>
      <c r="BE406" s="19">
        <f t="shared" si="253"/>
        <v>0</v>
      </c>
      <c r="BF406" s="20">
        <f t="shared" si="254"/>
        <v>0</v>
      </c>
      <c r="BG406" s="20">
        <f t="shared" si="255"/>
        <v>0</v>
      </c>
    </row>
    <row r="407" spans="1:59" ht="14.25" customHeight="1">
      <c r="A407" s="147" t="s">
        <v>59</v>
      </c>
      <c r="B407" s="147" t="s">
        <v>1057</v>
      </c>
      <c r="C407" s="151" t="s">
        <v>1058</v>
      </c>
      <c r="D407" s="151" t="s">
        <v>62</v>
      </c>
      <c r="E407" s="151">
        <v>13</v>
      </c>
      <c r="F407" s="149" t="s">
        <v>1119</v>
      </c>
      <c r="G407" s="147" t="s">
        <v>1060</v>
      </c>
      <c r="H407" s="147" t="s">
        <v>1061</v>
      </c>
      <c r="I407" s="147" t="s">
        <v>717</v>
      </c>
      <c r="J407" s="164">
        <v>43233501</v>
      </c>
      <c r="K407" s="147" t="s">
        <v>1062</v>
      </c>
      <c r="L407" s="147" t="s">
        <v>333</v>
      </c>
      <c r="M407" s="147" t="s">
        <v>1120</v>
      </c>
      <c r="N407" s="147" t="s">
        <v>100</v>
      </c>
      <c r="O407" s="147" t="s">
        <v>142</v>
      </c>
      <c r="P407" s="147" t="s">
        <v>71</v>
      </c>
      <c r="Q407" s="147">
        <v>12</v>
      </c>
      <c r="R407" s="147" t="s">
        <v>72</v>
      </c>
      <c r="S407" s="147" t="s">
        <v>143</v>
      </c>
      <c r="T407" s="147" t="s">
        <v>74</v>
      </c>
      <c r="U407" s="148">
        <v>5041631</v>
      </c>
      <c r="V407" s="148">
        <v>5041631</v>
      </c>
      <c r="W407" s="147" t="s">
        <v>75</v>
      </c>
      <c r="X407" s="147" t="s">
        <v>67</v>
      </c>
      <c r="Y407" s="147" t="s">
        <v>1064</v>
      </c>
      <c r="Z407" s="147" t="s">
        <v>1065</v>
      </c>
      <c r="AA407" s="147">
        <v>6012220601</v>
      </c>
      <c r="AB407" s="160" t="s">
        <v>1066</v>
      </c>
      <c r="AC407" s="14"/>
      <c r="AD407" s="14"/>
      <c r="AE407" s="14"/>
      <c r="AF407" s="14"/>
      <c r="AG407" s="14"/>
      <c r="AH407" s="14"/>
      <c r="AI407" s="14"/>
      <c r="AJ407" s="14"/>
      <c r="AK407" s="14"/>
      <c r="AL407" s="14"/>
      <c r="AM407" s="14"/>
      <c r="AN407" s="14"/>
      <c r="AO407" s="14"/>
      <c r="AP407" s="14"/>
      <c r="AQ407" s="14"/>
      <c r="AR407" s="14"/>
      <c r="AS407" s="14"/>
      <c r="AT407" s="14"/>
      <c r="AU407" s="28">
        <v>5041631</v>
      </c>
      <c r="AV407" s="28"/>
      <c r="AW407" s="28"/>
      <c r="AX407" s="28"/>
      <c r="AY407" s="28"/>
      <c r="AZ407" s="28">
        <v>5041631</v>
      </c>
      <c r="BA407" s="17"/>
      <c r="BB407" s="17"/>
      <c r="BC407" s="18">
        <f t="shared" si="251"/>
        <v>5041631</v>
      </c>
      <c r="BD407" s="18">
        <f t="shared" si="252"/>
        <v>5041631</v>
      </c>
      <c r="BE407" s="19">
        <f t="shared" si="253"/>
        <v>0</v>
      </c>
      <c r="BF407" s="20">
        <f t="shared" si="254"/>
        <v>0</v>
      </c>
      <c r="BG407" s="20">
        <f t="shared" si="255"/>
        <v>0</v>
      </c>
    </row>
    <row r="408" spans="1:59" ht="14.25" customHeight="1">
      <c r="A408" s="147" t="s">
        <v>59</v>
      </c>
      <c r="B408" s="147" t="s">
        <v>1057</v>
      </c>
      <c r="C408" s="151" t="s">
        <v>1058</v>
      </c>
      <c r="D408" s="151" t="s">
        <v>62</v>
      </c>
      <c r="E408" s="151">
        <v>40</v>
      </c>
      <c r="F408" s="149" t="s">
        <v>1121</v>
      </c>
      <c r="G408" s="147" t="s">
        <v>1060</v>
      </c>
      <c r="H408" s="147" t="s">
        <v>1061</v>
      </c>
      <c r="I408" s="147" t="s">
        <v>717</v>
      </c>
      <c r="J408" s="164">
        <v>80111620</v>
      </c>
      <c r="K408" s="147" t="s">
        <v>1062</v>
      </c>
      <c r="L408" s="147" t="s">
        <v>83</v>
      </c>
      <c r="M408" s="147" t="s">
        <v>1122</v>
      </c>
      <c r="N408" s="147" t="s">
        <v>142</v>
      </c>
      <c r="O408" s="147" t="s">
        <v>142</v>
      </c>
      <c r="P408" s="147" t="s">
        <v>71</v>
      </c>
      <c r="Q408" s="147">
        <v>3.5</v>
      </c>
      <c r="R408" s="147" t="s">
        <v>72</v>
      </c>
      <c r="S408" s="147" t="s">
        <v>73</v>
      </c>
      <c r="T408" s="147" t="s">
        <v>74</v>
      </c>
      <c r="U408" s="148">
        <v>2790773</v>
      </c>
      <c r="V408" s="148">
        <v>2790773</v>
      </c>
      <c r="W408" s="147" t="s">
        <v>75</v>
      </c>
      <c r="X408" s="147" t="s">
        <v>67</v>
      </c>
      <c r="Y408" s="147" t="s">
        <v>1123</v>
      </c>
      <c r="Z408" s="147" t="s">
        <v>1124</v>
      </c>
      <c r="AA408" s="147">
        <v>6012220601</v>
      </c>
      <c r="AB408" s="160" t="s">
        <v>1125</v>
      </c>
      <c r="AC408" s="14"/>
      <c r="AD408" s="14"/>
      <c r="AE408" s="14"/>
      <c r="AF408" s="14"/>
      <c r="AG408" s="14"/>
      <c r="AH408" s="14"/>
      <c r="AI408" s="14"/>
      <c r="AJ408" s="14"/>
      <c r="AK408" s="14"/>
      <c r="AL408" s="14"/>
      <c r="AM408" s="14"/>
      <c r="AN408" s="14"/>
      <c r="AO408" s="14"/>
      <c r="AP408" s="14"/>
      <c r="AQ408" s="14"/>
      <c r="AR408" s="14"/>
      <c r="AS408" s="14"/>
      <c r="AT408" s="14"/>
      <c r="AU408" s="28">
        <v>2790773</v>
      </c>
      <c r="AV408" s="28">
        <v>930258</v>
      </c>
      <c r="AW408" s="28"/>
      <c r="AX408" s="28">
        <v>930258</v>
      </c>
      <c r="AY408" s="28"/>
      <c r="AZ408" s="28">
        <v>930257</v>
      </c>
      <c r="BA408" s="17"/>
      <c r="BB408" s="17"/>
      <c r="BC408" s="18">
        <f t="shared" si="251"/>
        <v>2790773</v>
      </c>
      <c r="BD408" s="18">
        <f t="shared" si="252"/>
        <v>2790773</v>
      </c>
      <c r="BE408" s="19">
        <f t="shared" si="253"/>
        <v>0</v>
      </c>
      <c r="BF408" s="20">
        <f t="shared" si="254"/>
        <v>0</v>
      </c>
      <c r="BG408" s="20">
        <f t="shared" si="255"/>
        <v>0</v>
      </c>
    </row>
    <row r="409" spans="1:59" ht="14.25" customHeight="1">
      <c r="A409" s="147" t="s">
        <v>59</v>
      </c>
      <c r="B409" s="147" t="s">
        <v>1057</v>
      </c>
      <c r="C409" s="151" t="s">
        <v>1058</v>
      </c>
      <c r="D409" s="151" t="s">
        <v>62</v>
      </c>
      <c r="E409" s="151">
        <v>40</v>
      </c>
      <c r="F409" s="149" t="s">
        <v>1126</v>
      </c>
      <c r="G409" s="147" t="s">
        <v>1078</v>
      </c>
      <c r="H409" s="147" t="s">
        <v>1079</v>
      </c>
      <c r="I409" s="147" t="s">
        <v>1092</v>
      </c>
      <c r="J409" s="164">
        <v>80111620</v>
      </c>
      <c r="K409" s="147" t="s">
        <v>1080</v>
      </c>
      <c r="L409" s="147" t="s">
        <v>83</v>
      </c>
      <c r="M409" s="147" t="s">
        <v>1127</v>
      </c>
      <c r="N409" s="147" t="s">
        <v>142</v>
      </c>
      <c r="O409" s="147" t="s">
        <v>142</v>
      </c>
      <c r="P409" s="147" t="s">
        <v>71</v>
      </c>
      <c r="Q409" s="147">
        <v>3.5</v>
      </c>
      <c r="R409" s="147" t="s">
        <v>72</v>
      </c>
      <c r="S409" s="147" t="s">
        <v>73</v>
      </c>
      <c r="T409" s="147" t="s">
        <v>74</v>
      </c>
      <c r="U409" s="148">
        <v>2409227</v>
      </c>
      <c r="V409" s="148">
        <v>2409227</v>
      </c>
      <c r="W409" s="147" t="s">
        <v>75</v>
      </c>
      <c r="X409" s="147" t="s">
        <v>67</v>
      </c>
      <c r="Y409" s="147" t="s">
        <v>1123</v>
      </c>
      <c r="Z409" s="147" t="s">
        <v>1124</v>
      </c>
      <c r="AA409" s="147">
        <v>6012220601</v>
      </c>
      <c r="AB409" s="160" t="s">
        <v>1125</v>
      </c>
      <c r="AC409" s="14"/>
      <c r="AD409" s="14"/>
      <c r="AE409" s="14"/>
      <c r="AF409" s="14"/>
      <c r="AG409" s="14"/>
      <c r="AH409" s="14"/>
      <c r="AI409" s="14"/>
      <c r="AJ409" s="14"/>
      <c r="AK409" s="14"/>
      <c r="AL409" s="14"/>
      <c r="AM409" s="14"/>
      <c r="AN409" s="14"/>
      <c r="AO409" s="14"/>
      <c r="AP409" s="14"/>
      <c r="AQ409" s="14"/>
      <c r="AR409" s="14"/>
      <c r="AS409" s="14"/>
      <c r="AT409" s="14"/>
      <c r="AU409" s="28">
        <v>2409227</v>
      </c>
      <c r="AV409" s="28">
        <v>803076</v>
      </c>
      <c r="AW409" s="28"/>
      <c r="AX409" s="28">
        <v>803076</v>
      </c>
      <c r="AY409" s="28"/>
      <c r="AZ409" s="28">
        <v>803075</v>
      </c>
      <c r="BA409" s="17"/>
      <c r="BB409" s="17"/>
      <c r="BC409" s="18">
        <f t="shared" si="251"/>
        <v>2409227</v>
      </c>
      <c r="BD409" s="18">
        <f t="shared" si="252"/>
        <v>2409227</v>
      </c>
      <c r="BE409" s="19">
        <f t="shared" si="253"/>
        <v>0</v>
      </c>
      <c r="BF409" s="20">
        <f t="shared" si="254"/>
        <v>0</v>
      </c>
      <c r="BG409" s="20">
        <f t="shared" si="255"/>
        <v>0</v>
      </c>
    </row>
    <row r="410" spans="1:59" ht="14.25" customHeight="1">
      <c r="A410" s="147" t="s">
        <v>59</v>
      </c>
      <c r="B410" s="147" t="s">
        <v>1057</v>
      </c>
      <c r="C410" s="151" t="s">
        <v>1058</v>
      </c>
      <c r="D410" s="151" t="s">
        <v>62</v>
      </c>
      <c r="E410" s="151">
        <v>40</v>
      </c>
      <c r="F410" s="149" t="s">
        <v>1128</v>
      </c>
      <c r="G410" s="147" t="s">
        <v>1060</v>
      </c>
      <c r="H410" s="147" t="s">
        <v>1061</v>
      </c>
      <c r="I410" s="147" t="s">
        <v>737</v>
      </c>
      <c r="J410" s="164">
        <v>80111620</v>
      </c>
      <c r="K410" s="147" t="s">
        <v>1062</v>
      </c>
      <c r="L410" s="147" t="s">
        <v>83</v>
      </c>
      <c r="M410" s="147" t="s">
        <v>1129</v>
      </c>
      <c r="N410" s="147" t="s">
        <v>142</v>
      </c>
      <c r="O410" s="147" t="s">
        <v>142</v>
      </c>
      <c r="P410" s="147" t="s">
        <v>71</v>
      </c>
      <c r="Q410" s="147">
        <v>3.5</v>
      </c>
      <c r="R410" s="147" t="s">
        <v>72</v>
      </c>
      <c r="S410" s="147" t="s">
        <v>73</v>
      </c>
      <c r="T410" s="147" t="s">
        <v>74</v>
      </c>
      <c r="U410" s="148">
        <v>7400000</v>
      </c>
      <c r="V410" s="148">
        <v>7400000</v>
      </c>
      <c r="W410" s="147" t="s">
        <v>75</v>
      </c>
      <c r="X410" s="147" t="s">
        <v>67</v>
      </c>
      <c r="Y410" s="147" t="s">
        <v>1123</v>
      </c>
      <c r="Z410" s="147" t="s">
        <v>1124</v>
      </c>
      <c r="AA410" s="147">
        <v>6012220601</v>
      </c>
      <c r="AB410" s="160" t="s">
        <v>1125</v>
      </c>
      <c r="AC410" s="14"/>
      <c r="AD410" s="14"/>
      <c r="AE410" s="14"/>
      <c r="AF410" s="14"/>
      <c r="AG410" s="14"/>
      <c r="AH410" s="14"/>
      <c r="AI410" s="14"/>
      <c r="AJ410" s="14"/>
      <c r="AK410" s="14"/>
      <c r="AL410" s="14"/>
      <c r="AM410" s="14"/>
      <c r="AN410" s="14"/>
      <c r="AO410" s="14"/>
      <c r="AP410" s="14"/>
      <c r="AQ410" s="14"/>
      <c r="AR410" s="14"/>
      <c r="AS410" s="14"/>
      <c r="AT410" s="14"/>
      <c r="AU410" s="28">
        <v>7400000</v>
      </c>
      <c r="AV410" s="28">
        <v>2466667</v>
      </c>
      <c r="AW410" s="28"/>
      <c r="AX410" s="28">
        <v>2466667</v>
      </c>
      <c r="AY410" s="28"/>
      <c r="AZ410" s="28">
        <v>2466666</v>
      </c>
      <c r="BA410" s="17"/>
      <c r="BB410" s="17"/>
      <c r="BC410" s="18">
        <f t="shared" si="251"/>
        <v>7400000</v>
      </c>
      <c r="BD410" s="18">
        <f t="shared" si="252"/>
        <v>7400000</v>
      </c>
      <c r="BE410" s="19">
        <f t="shared" si="253"/>
        <v>0</v>
      </c>
      <c r="BF410" s="20">
        <f t="shared" si="254"/>
        <v>0</v>
      </c>
      <c r="BG410" s="20">
        <f t="shared" si="255"/>
        <v>0</v>
      </c>
    </row>
    <row r="411" spans="1:59" ht="14.25" customHeight="1">
      <c r="A411" s="147" t="s">
        <v>59</v>
      </c>
      <c r="B411" s="147" t="s">
        <v>1057</v>
      </c>
      <c r="C411" s="151" t="s">
        <v>1058</v>
      </c>
      <c r="D411" s="151" t="s">
        <v>62</v>
      </c>
      <c r="E411" s="151">
        <v>40</v>
      </c>
      <c r="F411" s="149" t="s">
        <v>1130</v>
      </c>
      <c r="G411" s="147" t="s">
        <v>1060</v>
      </c>
      <c r="H411" s="147" t="s">
        <v>1061</v>
      </c>
      <c r="I411" s="147" t="s">
        <v>737</v>
      </c>
      <c r="J411" s="164">
        <v>80111620</v>
      </c>
      <c r="K411" s="147" t="s">
        <v>1062</v>
      </c>
      <c r="L411" s="147" t="s">
        <v>83</v>
      </c>
      <c r="M411" s="147" t="s">
        <v>1131</v>
      </c>
      <c r="N411" s="147" t="s">
        <v>142</v>
      </c>
      <c r="O411" s="147" t="s">
        <v>142</v>
      </c>
      <c r="P411" s="147" t="s">
        <v>71</v>
      </c>
      <c r="Q411" s="147">
        <v>3.5</v>
      </c>
      <c r="R411" s="147" t="s">
        <v>72</v>
      </c>
      <c r="S411" s="147" t="s">
        <v>73</v>
      </c>
      <c r="T411" s="147" t="s">
        <v>74</v>
      </c>
      <c r="U411" s="148">
        <v>1780000</v>
      </c>
      <c r="V411" s="148">
        <v>1780000</v>
      </c>
      <c r="W411" s="147" t="s">
        <v>75</v>
      </c>
      <c r="X411" s="147" t="s">
        <v>67</v>
      </c>
      <c r="Y411" s="147" t="s">
        <v>1123</v>
      </c>
      <c r="Z411" s="147" t="s">
        <v>1124</v>
      </c>
      <c r="AA411" s="147">
        <v>6012220601</v>
      </c>
      <c r="AB411" s="160" t="s">
        <v>1125</v>
      </c>
      <c r="AC411" s="14"/>
      <c r="AD411" s="14"/>
      <c r="AE411" s="14"/>
      <c r="AF411" s="14"/>
      <c r="AG411" s="14"/>
      <c r="AH411" s="14"/>
      <c r="AI411" s="14"/>
      <c r="AJ411" s="14"/>
      <c r="AK411" s="14"/>
      <c r="AL411" s="14"/>
      <c r="AM411" s="14"/>
      <c r="AN411" s="14"/>
      <c r="AO411" s="14"/>
      <c r="AP411" s="14"/>
      <c r="AQ411" s="14"/>
      <c r="AR411" s="14"/>
      <c r="AS411" s="14"/>
      <c r="AT411" s="14"/>
      <c r="AU411" s="28">
        <v>1780000</v>
      </c>
      <c r="AV411" s="28">
        <v>593333</v>
      </c>
      <c r="AW411" s="28"/>
      <c r="AX411" s="28">
        <v>593333</v>
      </c>
      <c r="AY411" s="28"/>
      <c r="AZ411" s="28">
        <v>593334</v>
      </c>
      <c r="BA411" s="17"/>
      <c r="BB411" s="17"/>
      <c r="BC411" s="18">
        <f t="shared" si="251"/>
        <v>1780000</v>
      </c>
      <c r="BD411" s="18">
        <f t="shared" si="252"/>
        <v>1780000</v>
      </c>
      <c r="BE411" s="19">
        <f t="shared" si="253"/>
        <v>0</v>
      </c>
      <c r="BF411" s="20">
        <f t="shared" si="254"/>
        <v>0</v>
      </c>
      <c r="BG411" s="20">
        <f t="shared" si="255"/>
        <v>0</v>
      </c>
    </row>
    <row r="412" spans="1:59" ht="14.25" customHeight="1">
      <c r="A412" s="147" t="s">
        <v>59</v>
      </c>
      <c r="B412" s="147" t="s">
        <v>1057</v>
      </c>
      <c r="C412" s="151" t="s">
        <v>1058</v>
      </c>
      <c r="D412" s="151" t="s">
        <v>62</v>
      </c>
      <c r="E412" s="151">
        <v>40</v>
      </c>
      <c r="F412" s="149" t="s">
        <v>1132</v>
      </c>
      <c r="G412" s="147" t="s">
        <v>1083</v>
      </c>
      <c r="H412" s="147" t="s">
        <v>1084</v>
      </c>
      <c r="I412" s="147" t="s">
        <v>296</v>
      </c>
      <c r="J412" s="164">
        <v>80111620</v>
      </c>
      <c r="K412" s="147" t="s">
        <v>1085</v>
      </c>
      <c r="L412" s="147" t="s">
        <v>83</v>
      </c>
      <c r="M412" s="147" t="s">
        <v>1133</v>
      </c>
      <c r="N412" s="147" t="s">
        <v>142</v>
      </c>
      <c r="O412" s="147" t="s">
        <v>142</v>
      </c>
      <c r="P412" s="147" t="s">
        <v>71</v>
      </c>
      <c r="Q412" s="147">
        <v>3.5</v>
      </c>
      <c r="R412" s="147" t="s">
        <v>72</v>
      </c>
      <c r="S412" s="147" t="s">
        <v>73</v>
      </c>
      <c r="T412" s="147" t="s">
        <v>74</v>
      </c>
      <c r="U412" s="148">
        <v>5620000</v>
      </c>
      <c r="V412" s="148">
        <v>5620000</v>
      </c>
      <c r="W412" s="147" t="s">
        <v>75</v>
      </c>
      <c r="X412" s="147" t="s">
        <v>67</v>
      </c>
      <c r="Y412" s="147" t="s">
        <v>1123</v>
      </c>
      <c r="Z412" s="147" t="s">
        <v>1124</v>
      </c>
      <c r="AA412" s="147">
        <v>6012220601</v>
      </c>
      <c r="AB412" s="160" t="s">
        <v>1125</v>
      </c>
      <c r="AC412" s="14"/>
      <c r="AD412" s="14"/>
      <c r="AE412" s="14"/>
      <c r="AF412" s="14"/>
      <c r="AG412" s="14"/>
      <c r="AH412" s="14"/>
      <c r="AI412" s="14"/>
      <c r="AJ412" s="14"/>
      <c r="AK412" s="14"/>
      <c r="AL412" s="14"/>
      <c r="AM412" s="14"/>
      <c r="AN412" s="14"/>
      <c r="AO412" s="14"/>
      <c r="AP412" s="14"/>
      <c r="AQ412" s="14"/>
      <c r="AR412" s="14"/>
      <c r="AS412" s="14"/>
      <c r="AT412" s="14"/>
      <c r="AU412" s="28">
        <v>5620000</v>
      </c>
      <c r="AV412" s="28">
        <v>1873333</v>
      </c>
      <c r="AW412" s="28"/>
      <c r="AX412" s="28">
        <v>1873333</v>
      </c>
      <c r="AY412" s="28"/>
      <c r="AZ412" s="28">
        <v>1873334</v>
      </c>
      <c r="BA412" s="17"/>
      <c r="BB412" s="17"/>
      <c r="BC412" s="18">
        <f t="shared" si="251"/>
        <v>5620000</v>
      </c>
      <c r="BD412" s="18">
        <f t="shared" si="252"/>
        <v>5620000</v>
      </c>
      <c r="BE412" s="19">
        <f t="shared" si="253"/>
        <v>0</v>
      </c>
      <c r="BF412" s="20">
        <f t="shared" si="254"/>
        <v>0</v>
      </c>
      <c r="BG412" s="20">
        <f t="shared" si="255"/>
        <v>0</v>
      </c>
    </row>
    <row r="413" spans="1:59" ht="14.25" customHeight="1">
      <c r="A413" s="147" t="s">
        <v>59</v>
      </c>
      <c r="B413" s="147" t="s">
        <v>1057</v>
      </c>
      <c r="C413" s="151" t="s">
        <v>1058</v>
      </c>
      <c r="D413" s="151" t="s">
        <v>62</v>
      </c>
      <c r="E413" s="151">
        <v>46</v>
      </c>
      <c r="F413" s="149" t="s">
        <v>1134</v>
      </c>
      <c r="G413" s="147" t="s">
        <v>1083</v>
      </c>
      <c r="H413" s="147" t="s">
        <v>1084</v>
      </c>
      <c r="I413" s="147" t="s">
        <v>296</v>
      </c>
      <c r="J413" s="164">
        <v>80111620</v>
      </c>
      <c r="K413" s="147" t="s">
        <v>1085</v>
      </c>
      <c r="L413" s="147" t="s">
        <v>83</v>
      </c>
      <c r="M413" s="147" t="s">
        <v>1135</v>
      </c>
      <c r="N413" s="147" t="s">
        <v>142</v>
      </c>
      <c r="O413" s="147" t="s">
        <v>142</v>
      </c>
      <c r="P413" s="147" t="s">
        <v>71</v>
      </c>
      <c r="Q413" s="147">
        <v>3.5</v>
      </c>
      <c r="R413" s="147" t="s">
        <v>72</v>
      </c>
      <c r="S413" s="147" t="s">
        <v>73</v>
      </c>
      <c r="T413" s="147" t="s">
        <v>74</v>
      </c>
      <c r="U413" s="148">
        <v>6933000</v>
      </c>
      <c r="V413" s="167">
        <v>6933000</v>
      </c>
      <c r="W413" s="147" t="s">
        <v>75</v>
      </c>
      <c r="X413" s="147" t="s">
        <v>67</v>
      </c>
      <c r="Y413" s="147" t="s">
        <v>1123</v>
      </c>
      <c r="Z413" s="147" t="s">
        <v>1124</v>
      </c>
      <c r="AA413" s="147">
        <v>6012220601</v>
      </c>
      <c r="AB413" s="160" t="s">
        <v>1125</v>
      </c>
      <c r="AC413" s="14"/>
      <c r="AD413" s="14"/>
      <c r="AE413" s="14"/>
      <c r="AF413" s="14"/>
      <c r="AG413" s="14"/>
      <c r="AH413" s="14"/>
      <c r="AI413" s="14"/>
      <c r="AJ413" s="14"/>
      <c r="AK413" s="14"/>
      <c r="AL413" s="14"/>
      <c r="AM413" s="14"/>
      <c r="AN413" s="14"/>
      <c r="AO413" s="14"/>
      <c r="AP413" s="14"/>
      <c r="AQ413" s="14"/>
      <c r="AR413" s="14"/>
      <c r="AS413" s="14"/>
      <c r="AT413" s="14"/>
      <c r="AU413" s="28">
        <v>6933000</v>
      </c>
      <c r="AV413" s="28">
        <v>933000</v>
      </c>
      <c r="AW413" s="28"/>
      <c r="AX413" s="28">
        <v>2000000</v>
      </c>
      <c r="AY413" s="28"/>
      <c r="AZ413" s="28">
        <v>4000000</v>
      </c>
      <c r="BA413" s="17"/>
      <c r="BB413" s="17"/>
      <c r="BC413" s="18">
        <f t="shared" si="251"/>
        <v>6933000</v>
      </c>
      <c r="BD413" s="18">
        <f t="shared" si="252"/>
        <v>6933000</v>
      </c>
      <c r="BE413" s="19">
        <f t="shared" si="253"/>
        <v>0</v>
      </c>
      <c r="BF413" s="20">
        <f t="shared" si="254"/>
        <v>0</v>
      </c>
      <c r="BG413" s="20">
        <f t="shared" si="255"/>
        <v>0</v>
      </c>
    </row>
    <row r="414" spans="1:59" ht="14.25" customHeight="1">
      <c r="A414" s="147" t="s">
        <v>59</v>
      </c>
      <c r="B414" s="147" t="s">
        <v>1057</v>
      </c>
      <c r="C414" s="151" t="s">
        <v>1058</v>
      </c>
      <c r="D414" s="151" t="s">
        <v>62</v>
      </c>
      <c r="E414" s="151">
        <v>46</v>
      </c>
      <c r="F414" s="149" t="s">
        <v>1136</v>
      </c>
      <c r="G414" s="147" t="s">
        <v>1083</v>
      </c>
      <c r="H414" s="147" t="s">
        <v>1084</v>
      </c>
      <c r="I414" s="147" t="s">
        <v>296</v>
      </c>
      <c r="J414" s="164">
        <v>80111620</v>
      </c>
      <c r="K414" s="147" t="s">
        <v>1085</v>
      </c>
      <c r="L414" s="147" t="s">
        <v>83</v>
      </c>
      <c r="M414" s="147" t="s">
        <v>1137</v>
      </c>
      <c r="N414" s="147" t="s">
        <v>142</v>
      </c>
      <c r="O414" s="147" t="s">
        <v>142</v>
      </c>
      <c r="P414" s="147" t="s">
        <v>71</v>
      </c>
      <c r="Q414" s="147">
        <v>3.5</v>
      </c>
      <c r="R414" s="147" t="s">
        <v>72</v>
      </c>
      <c r="S414" s="147" t="s">
        <v>73</v>
      </c>
      <c r="T414" s="147" t="s">
        <v>74</v>
      </c>
      <c r="U414" s="148">
        <v>7129400</v>
      </c>
      <c r="V414" s="148">
        <v>7129400</v>
      </c>
      <c r="W414" s="147" t="s">
        <v>75</v>
      </c>
      <c r="X414" s="147" t="s">
        <v>67</v>
      </c>
      <c r="Y414" s="147" t="s">
        <v>1123</v>
      </c>
      <c r="Z414" s="147" t="s">
        <v>1124</v>
      </c>
      <c r="AA414" s="147">
        <v>6012220601</v>
      </c>
      <c r="AB414" s="160" t="s">
        <v>1125</v>
      </c>
      <c r="AC414" s="14"/>
      <c r="AD414" s="14"/>
      <c r="AE414" s="14"/>
      <c r="AF414" s="14"/>
      <c r="AG414" s="14"/>
      <c r="AH414" s="14"/>
      <c r="AI414" s="14"/>
      <c r="AJ414" s="14"/>
      <c r="AK414" s="14"/>
      <c r="AL414" s="14"/>
      <c r="AM414" s="14"/>
      <c r="AN414" s="14"/>
      <c r="AO414" s="14"/>
      <c r="AP414" s="14"/>
      <c r="AQ414" s="14"/>
      <c r="AR414" s="14"/>
      <c r="AS414" s="14"/>
      <c r="AT414" s="14"/>
      <c r="AU414" s="28">
        <v>7129400</v>
      </c>
      <c r="AV414" s="28"/>
      <c r="AW414" s="28"/>
      <c r="AX414" s="28"/>
      <c r="AY414" s="28"/>
      <c r="AZ414" s="28">
        <v>7129400</v>
      </c>
      <c r="BA414" s="17"/>
      <c r="BB414" s="17"/>
      <c r="BC414" s="18">
        <f t="shared" si="251"/>
        <v>7129400</v>
      </c>
      <c r="BD414" s="18">
        <f t="shared" si="252"/>
        <v>7129400</v>
      </c>
      <c r="BE414" s="19">
        <f t="shared" si="253"/>
        <v>0</v>
      </c>
      <c r="BF414" s="20">
        <f t="shared" si="254"/>
        <v>0</v>
      </c>
      <c r="BG414" s="20">
        <f t="shared" si="255"/>
        <v>0</v>
      </c>
    </row>
    <row r="415" spans="1:59" ht="14.25" customHeight="1">
      <c r="A415" s="147" t="s">
        <v>59</v>
      </c>
      <c r="B415" s="147" t="s">
        <v>1057</v>
      </c>
      <c r="C415" s="151" t="s">
        <v>1058</v>
      </c>
      <c r="D415" s="151" t="s">
        <v>62</v>
      </c>
      <c r="E415" s="151">
        <v>46</v>
      </c>
      <c r="F415" s="149" t="s">
        <v>1138</v>
      </c>
      <c r="G415" s="147" t="s">
        <v>1060</v>
      </c>
      <c r="H415" s="147" t="s">
        <v>1061</v>
      </c>
      <c r="I415" s="147" t="s">
        <v>737</v>
      </c>
      <c r="J415" s="164">
        <v>80111620</v>
      </c>
      <c r="K415" s="147" t="s">
        <v>1062</v>
      </c>
      <c r="L415" s="147" t="s">
        <v>83</v>
      </c>
      <c r="M415" s="147" t="s">
        <v>1139</v>
      </c>
      <c r="N415" s="147" t="s">
        <v>142</v>
      </c>
      <c r="O415" s="147" t="s">
        <v>142</v>
      </c>
      <c r="P415" s="147" t="s">
        <v>71</v>
      </c>
      <c r="Q415" s="147">
        <v>3.2</v>
      </c>
      <c r="R415" s="147" t="s">
        <v>72</v>
      </c>
      <c r="S415" s="147" t="s">
        <v>73</v>
      </c>
      <c r="T415" s="147" t="s">
        <v>74</v>
      </c>
      <c r="U415" s="148">
        <v>1239320</v>
      </c>
      <c r="V415" s="148">
        <v>1239320</v>
      </c>
      <c r="W415" s="147" t="s">
        <v>75</v>
      </c>
      <c r="X415" s="147" t="s">
        <v>67</v>
      </c>
      <c r="Y415" s="147" t="s">
        <v>811</v>
      </c>
      <c r="Z415" s="147" t="s">
        <v>1124</v>
      </c>
      <c r="AA415" s="147">
        <v>6012220601</v>
      </c>
      <c r="AB415" s="160" t="s">
        <v>813</v>
      </c>
      <c r="AC415" s="14"/>
      <c r="AD415" s="14"/>
      <c r="AE415" s="14"/>
      <c r="AF415" s="14"/>
      <c r="AG415" s="14"/>
      <c r="AH415" s="14"/>
      <c r="AI415" s="14"/>
      <c r="AJ415" s="14"/>
      <c r="AK415" s="14"/>
      <c r="AL415" s="14"/>
      <c r="AM415" s="14"/>
      <c r="AN415" s="14"/>
      <c r="AO415" s="14"/>
      <c r="AP415" s="14"/>
      <c r="AQ415" s="14"/>
      <c r="AR415" s="14"/>
      <c r="AS415" s="14"/>
      <c r="AT415" s="14"/>
      <c r="AU415" s="28">
        <v>1239320</v>
      </c>
      <c r="AV415" s="28"/>
      <c r="AW415" s="28"/>
      <c r="AX415" s="28"/>
      <c r="AY415" s="28"/>
      <c r="AZ415" s="28">
        <v>1239320</v>
      </c>
      <c r="BA415" s="17"/>
      <c r="BB415" s="17"/>
      <c r="BC415" s="18">
        <f t="shared" si="251"/>
        <v>1239320</v>
      </c>
      <c r="BD415" s="18">
        <f t="shared" si="252"/>
        <v>1239320</v>
      </c>
      <c r="BE415" s="19">
        <f t="shared" si="253"/>
        <v>0</v>
      </c>
      <c r="BF415" s="20">
        <f t="shared" si="254"/>
        <v>0</v>
      </c>
      <c r="BG415" s="20">
        <f t="shared" si="255"/>
        <v>0</v>
      </c>
    </row>
    <row r="416" spans="1:59" ht="14.25" customHeight="1">
      <c r="A416" s="147" t="s">
        <v>59</v>
      </c>
      <c r="B416" s="147" t="s">
        <v>1057</v>
      </c>
      <c r="C416" s="151" t="s">
        <v>1058</v>
      </c>
      <c r="D416" s="151" t="s">
        <v>62</v>
      </c>
      <c r="E416" s="151">
        <v>46</v>
      </c>
      <c r="F416" s="149" t="s">
        <v>1140</v>
      </c>
      <c r="G416" s="147" t="s">
        <v>1060</v>
      </c>
      <c r="H416" s="147" t="s">
        <v>1061</v>
      </c>
      <c r="I416" s="147" t="s">
        <v>737</v>
      </c>
      <c r="J416" s="164">
        <v>80111620</v>
      </c>
      <c r="K416" s="147" t="s">
        <v>1062</v>
      </c>
      <c r="L416" s="147" t="s">
        <v>333</v>
      </c>
      <c r="M416" s="147" t="s">
        <v>1141</v>
      </c>
      <c r="N416" s="147" t="s">
        <v>71</v>
      </c>
      <c r="O416" s="147" t="s">
        <v>71</v>
      </c>
      <c r="P416" s="147" t="s">
        <v>180</v>
      </c>
      <c r="Q416" s="147">
        <v>8</v>
      </c>
      <c r="R416" s="147" t="s">
        <v>72</v>
      </c>
      <c r="S416" s="147" t="s">
        <v>156</v>
      </c>
      <c r="T416" s="147" t="s">
        <v>74</v>
      </c>
      <c r="U416" s="148">
        <v>30000000</v>
      </c>
      <c r="V416" s="148">
        <v>30000000</v>
      </c>
      <c r="W416" s="147" t="s">
        <v>75</v>
      </c>
      <c r="X416" s="147" t="s">
        <v>67</v>
      </c>
      <c r="Y416" s="147" t="s">
        <v>811</v>
      </c>
      <c r="Z416" s="147" t="s">
        <v>1124</v>
      </c>
      <c r="AA416" s="147">
        <v>6012220601</v>
      </c>
      <c r="AB416" s="160" t="s">
        <v>813</v>
      </c>
      <c r="AC416" s="14"/>
      <c r="AD416" s="14"/>
      <c r="AE416" s="14"/>
      <c r="AF416" s="14"/>
      <c r="AG416" s="14"/>
      <c r="AH416" s="14"/>
      <c r="AI416" s="14"/>
      <c r="AJ416" s="14"/>
      <c r="AK416" s="14"/>
      <c r="AL416" s="14"/>
      <c r="AM416" s="14"/>
      <c r="AN416" s="14"/>
      <c r="AO416" s="14"/>
      <c r="AP416" s="14"/>
      <c r="AQ416" s="14"/>
      <c r="AR416" s="14"/>
      <c r="AS416" s="14"/>
      <c r="AT416" s="14"/>
      <c r="AU416" s="28">
        <v>30000000</v>
      </c>
      <c r="AV416" s="28"/>
      <c r="AW416" s="28"/>
      <c r="AX416" s="28"/>
      <c r="AY416" s="28"/>
      <c r="AZ416" s="28">
        <v>30000000</v>
      </c>
      <c r="BA416" s="17"/>
      <c r="BB416" s="17"/>
      <c r="BC416" s="18">
        <f t="shared" si="251"/>
        <v>30000000</v>
      </c>
      <c r="BD416" s="18">
        <f t="shared" si="252"/>
        <v>30000000</v>
      </c>
      <c r="BE416" s="19">
        <f t="shared" si="253"/>
        <v>0</v>
      </c>
      <c r="BF416" s="20">
        <f t="shared" si="254"/>
        <v>0</v>
      </c>
      <c r="BG416" s="20">
        <f t="shared" si="255"/>
        <v>0</v>
      </c>
    </row>
    <row r="417" spans="1:59" ht="14.25" customHeight="1">
      <c r="A417" s="147" t="s">
        <v>59</v>
      </c>
      <c r="B417" s="147" t="s">
        <v>1142</v>
      </c>
      <c r="C417" s="151" t="s">
        <v>1143</v>
      </c>
      <c r="D417" s="151" t="s">
        <v>62</v>
      </c>
      <c r="E417" s="151" t="s">
        <v>114</v>
      </c>
      <c r="F417" s="149" t="s">
        <v>1144</v>
      </c>
      <c r="G417" s="147" t="s">
        <v>1145</v>
      </c>
      <c r="H417" s="147" t="s">
        <v>65</v>
      </c>
      <c r="I417" s="147" t="s">
        <v>1146</v>
      </c>
      <c r="J417" s="164">
        <v>80111620</v>
      </c>
      <c r="K417" s="147" t="s">
        <v>1147</v>
      </c>
      <c r="L417" s="147" t="s">
        <v>83</v>
      </c>
      <c r="M417" s="147" t="s">
        <v>1148</v>
      </c>
      <c r="N417" s="147" t="s">
        <v>85</v>
      </c>
      <c r="O417" s="147" t="s">
        <v>85</v>
      </c>
      <c r="P417" s="200" t="s">
        <v>85</v>
      </c>
      <c r="Q417" s="147">
        <v>8</v>
      </c>
      <c r="R417" s="147" t="s">
        <v>72</v>
      </c>
      <c r="S417" s="147" t="s">
        <v>73</v>
      </c>
      <c r="T417" s="147" t="s">
        <v>74</v>
      </c>
      <c r="U417" s="148">
        <v>50000000</v>
      </c>
      <c r="V417" s="177">
        <v>50000000</v>
      </c>
      <c r="W417" s="147" t="s">
        <v>75</v>
      </c>
      <c r="X417" s="147" t="s">
        <v>67</v>
      </c>
      <c r="Y417" s="147" t="s">
        <v>1149</v>
      </c>
      <c r="Z417" s="147" t="s">
        <v>1150</v>
      </c>
      <c r="AA417" s="147">
        <v>6012220601</v>
      </c>
      <c r="AB417" s="160" t="s">
        <v>1151</v>
      </c>
      <c r="AC417" s="62"/>
      <c r="AD417" s="14"/>
      <c r="AE417" s="62">
        <v>50000000</v>
      </c>
      <c r="AF417" s="14"/>
      <c r="AG417" s="62"/>
      <c r="AH417" s="14">
        <v>2916667</v>
      </c>
      <c r="AI417" s="14"/>
      <c r="AJ417" s="14">
        <v>6250000</v>
      </c>
      <c r="AK417" s="14"/>
      <c r="AL417" s="14">
        <v>6250000</v>
      </c>
      <c r="AM417" s="14"/>
      <c r="AN417" s="14">
        <v>6250000</v>
      </c>
      <c r="AO417" s="14"/>
      <c r="AP417" s="14">
        <v>6250000</v>
      </c>
      <c r="AQ417" s="14"/>
      <c r="AR417" s="14">
        <v>6250000</v>
      </c>
      <c r="AS417" s="14"/>
      <c r="AT417" s="14">
        <v>6250000</v>
      </c>
      <c r="AU417" s="78"/>
      <c r="AV417" s="79">
        <v>6250000</v>
      </c>
      <c r="AW417" s="78"/>
      <c r="AX417" s="31">
        <v>3333333</v>
      </c>
      <c r="AY417" s="78"/>
      <c r="AZ417" s="31"/>
      <c r="BA417" s="17"/>
      <c r="BB417" s="17"/>
      <c r="BC417" s="18">
        <f t="shared" si="251"/>
        <v>50000000</v>
      </c>
      <c r="BD417" s="18">
        <f t="shared" si="252"/>
        <v>50000000</v>
      </c>
      <c r="BE417" s="19">
        <f t="shared" si="253"/>
        <v>0</v>
      </c>
      <c r="BF417" s="20">
        <f t="shared" si="254"/>
        <v>0</v>
      </c>
      <c r="BG417" s="20">
        <f t="shared" si="255"/>
        <v>0</v>
      </c>
    </row>
    <row r="418" spans="1:59" ht="14.25" customHeight="1">
      <c r="A418" s="147" t="s">
        <v>59</v>
      </c>
      <c r="B418" s="147" t="s">
        <v>1142</v>
      </c>
      <c r="C418" s="151" t="s">
        <v>1143</v>
      </c>
      <c r="D418" s="151" t="s">
        <v>62</v>
      </c>
      <c r="E418" s="151">
        <v>13</v>
      </c>
      <c r="F418" s="149" t="s">
        <v>1152</v>
      </c>
      <c r="G418" s="147" t="s">
        <v>1145</v>
      </c>
      <c r="H418" s="147" t="s">
        <v>65</v>
      </c>
      <c r="I418" s="147" t="s">
        <v>1146</v>
      </c>
      <c r="J418" s="164">
        <v>80111620</v>
      </c>
      <c r="K418" s="147" t="s">
        <v>1147</v>
      </c>
      <c r="L418" s="147" t="s">
        <v>83</v>
      </c>
      <c r="M418" s="147" t="s">
        <v>1153</v>
      </c>
      <c r="N418" s="147" t="s">
        <v>85</v>
      </c>
      <c r="O418" s="147" t="s">
        <v>85</v>
      </c>
      <c r="P418" s="200" t="s">
        <v>85</v>
      </c>
      <c r="Q418" s="147">
        <v>8</v>
      </c>
      <c r="R418" s="147" t="s">
        <v>72</v>
      </c>
      <c r="S418" s="147" t="s">
        <v>73</v>
      </c>
      <c r="T418" s="147" t="s">
        <v>74</v>
      </c>
      <c r="U418" s="148">
        <v>50400000</v>
      </c>
      <c r="V418" s="148">
        <v>50400000</v>
      </c>
      <c r="W418" s="147" t="s">
        <v>75</v>
      </c>
      <c r="X418" s="147" t="s">
        <v>67</v>
      </c>
      <c r="Y418" s="147" t="s">
        <v>1149</v>
      </c>
      <c r="Z418" s="147" t="s">
        <v>1150</v>
      </c>
      <c r="AA418" s="147">
        <v>6012220601</v>
      </c>
      <c r="AB418" s="160" t="s">
        <v>1151</v>
      </c>
      <c r="AC418" s="62"/>
      <c r="AD418" s="14"/>
      <c r="AE418" s="62">
        <v>50400000</v>
      </c>
      <c r="AF418" s="14"/>
      <c r="AG418" s="62"/>
      <c r="AH418" s="14">
        <v>2730000</v>
      </c>
      <c r="AI418" s="14"/>
      <c r="AJ418" s="14">
        <v>6300000</v>
      </c>
      <c r="AK418" s="14"/>
      <c r="AL418" s="14">
        <v>6300000</v>
      </c>
      <c r="AM418" s="14"/>
      <c r="AN418" s="14">
        <v>6300000</v>
      </c>
      <c r="AO418" s="14"/>
      <c r="AP418" s="14">
        <v>6300000</v>
      </c>
      <c r="AQ418" s="14"/>
      <c r="AR418" s="14">
        <v>6300000</v>
      </c>
      <c r="AS418" s="14"/>
      <c r="AT418" s="14">
        <v>6300000</v>
      </c>
      <c r="AU418" s="79"/>
      <c r="AV418" s="79">
        <v>6300000</v>
      </c>
      <c r="AW418" s="78"/>
      <c r="AX418" s="31">
        <v>3570000</v>
      </c>
      <c r="AY418" s="78"/>
      <c r="AZ418" s="31"/>
      <c r="BA418" s="17"/>
      <c r="BB418" s="17"/>
      <c r="BC418" s="18">
        <f t="shared" si="251"/>
        <v>50400000</v>
      </c>
      <c r="BD418" s="18">
        <f t="shared" si="252"/>
        <v>50400000</v>
      </c>
      <c r="BE418" s="19">
        <f t="shared" si="253"/>
        <v>0</v>
      </c>
      <c r="BF418" s="20">
        <f t="shared" si="254"/>
        <v>0</v>
      </c>
      <c r="BG418" s="20">
        <f t="shared" si="255"/>
        <v>0</v>
      </c>
    </row>
    <row r="419" spans="1:59" ht="14.25" customHeight="1">
      <c r="A419" s="147" t="s">
        <v>59</v>
      </c>
      <c r="B419" s="147" t="s">
        <v>1142</v>
      </c>
      <c r="C419" s="151" t="s">
        <v>1143</v>
      </c>
      <c r="D419" s="151" t="s">
        <v>62</v>
      </c>
      <c r="E419" s="201" t="s">
        <v>1154</v>
      </c>
      <c r="F419" s="149" t="s">
        <v>1155</v>
      </c>
      <c r="G419" s="147" t="s">
        <v>1145</v>
      </c>
      <c r="H419" s="147" t="s">
        <v>65</v>
      </c>
      <c r="I419" s="147" t="s">
        <v>1146</v>
      </c>
      <c r="J419" s="164">
        <v>80111620</v>
      </c>
      <c r="K419" s="147" t="s">
        <v>1147</v>
      </c>
      <c r="L419" s="147" t="s">
        <v>83</v>
      </c>
      <c r="M419" s="147" t="s">
        <v>1156</v>
      </c>
      <c r="N419" s="147" t="s">
        <v>91</v>
      </c>
      <c r="O419" s="147" t="s">
        <v>91</v>
      </c>
      <c r="P419" s="200" t="s">
        <v>91</v>
      </c>
      <c r="Q419" s="147">
        <v>3</v>
      </c>
      <c r="R419" s="147" t="s">
        <v>72</v>
      </c>
      <c r="S419" s="147" t="s">
        <v>73</v>
      </c>
      <c r="T419" s="147" t="s">
        <v>74</v>
      </c>
      <c r="U419" s="148">
        <v>18000000</v>
      </c>
      <c r="V419" s="177">
        <v>18000000</v>
      </c>
      <c r="W419" s="147" t="s">
        <v>75</v>
      </c>
      <c r="X419" s="147" t="s">
        <v>67</v>
      </c>
      <c r="Y419" s="147" t="s">
        <v>1149</v>
      </c>
      <c r="Z419" s="147" t="s">
        <v>1150</v>
      </c>
      <c r="AA419" s="147">
        <v>6012220601</v>
      </c>
      <c r="AB419" s="160" t="s">
        <v>1151</v>
      </c>
      <c r="AC419" s="62">
        <v>18000000</v>
      </c>
      <c r="AD419" s="14"/>
      <c r="AE419" s="62"/>
      <c r="AF419" s="14">
        <v>4400000</v>
      </c>
      <c r="AG419" s="62"/>
      <c r="AH419" s="14">
        <v>6000000</v>
      </c>
      <c r="AI419" s="14"/>
      <c r="AJ419" s="14">
        <v>6000000</v>
      </c>
      <c r="AK419" s="14"/>
      <c r="AL419" s="14">
        <v>1600000</v>
      </c>
      <c r="AM419" s="14"/>
      <c r="AN419" s="14"/>
      <c r="AO419" s="14"/>
      <c r="AP419" s="14"/>
      <c r="AQ419" s="14"/>
      <c r="AR419" s="14"/>
      <c r="AS419" s="14"/>
      <c r="AT419" s="14"/>
      <c r="AU419" s="31"/>
      <c r="AV419" s="31"/>
      <c r="AW419" s="31"/>
      <c r="AX419" s="31"/>
      <c r="AY419" s="31"/>
      <c r="AZ419" s="31"/>
      <c r="BA419" s="17"/>
      <c r="BB419" s="17"/>
      <c r="BC419" s="18">
        <f t="shared" si="251"/>
        <v>18000000</v>
      </c>
      <c r="BD419" s="18">
        <f t="shared" si="252"/>
        <v>18000000</v>
      </c>
      <c r="BE419" s="19">
        <f t="shared" si="253"/>
        <v>0</v>
      </c>
      <c r="BF419" s="20">
        <f t="shared" si="254"/>
        <v>0</v>
      </c>
      <c r="BG419" s="20">
        <f t="shared" si="255"/>
        <v>0</v>
      </c>
    </row>
    <row r="420" spans="1:59" ht="14.25" customHeight="1">
      <c r="A420" s="147" t="s">
        <v>59</v>
      </c>
      <c r="B420" s="147" t="s">
        <v>1142</v>
      </c>
      <c r="C420" s="151" t="s">
        <v>1143</v>
      </c>
      <c r="D420" s="151" t="s">
        <v>62</v>
      </c>
      <c r="E420" s="151">
        <v>25</v>
      </c>
      <c r="F420" s="165" t="s">
        <v>1157</v>
      </c>
      <c r="G420" s="147" t="s">
        <v>1145</v>
      </c>
      <c r="H420" s="147" t="s">
        <v>65</v>
      </c>
      <c r="I420" s="147" t="s">
        <v>1146</v>
      </c>
      <c r="J420" s="164">
        <v>80111620</v>
      </c>
      <c r="K420" s="147" t="s">
        <v>1147</v>
      </c>
      <c r="L420" s="147" t="s">
        <v>83</v>
      </c>
      <c r="M420" s="147" t="s">
        <v>1158</v>
      </c>
      <c r="N420" s="147" t="s">
        <v>71</v>
      </c>
      <c r="O420" s="147" t="s">
        <v>71</v>
      </c>
      <c r="P420" s="200" t="s">
        <v>180</v>
      </c>
      <c r="Q420" s="147">
        <v>5</v>
      </c>
      <c r="R420" s="147" t="s">
        <v>72</v>
      </c>
      <c r="S420" s="147" t="s">
        <v>73</v>
      </c>
      <c r="T420" s="147" t="s">
        <v>74</v>
      </c>
      <c r="U420" s="148">
        <v>4551995</v>
      </c>
      <c r="V420" s="148">
        <v>4551995</v>
      </c>
      <c r="W420" s="147" t="s">
        <v>75</v>
      </c>
      <c r="X420" s="147" t="s">
        <v>67</v>
      </c>
      <c r="Y420" s="147" t="s">
        <v>1149</v>
      </c>
      <c r="Z420" s="147" t="s">
        <v>1150</v>
      </c>
      <c r="AA420" s="147">
        <v>6012220601</v>
      </c>
      <c r="AB420" s="160" t="s">
        <v>1151</v>
      </c>
      <c r="AC420" s="62"/>
      <c r="AD420" s="14"/>
      <c r="AE420" s="62"/>
      <c r="AF420" s="14"/>
      <c r="AG420" s="62"/>
      <c r="AH420" s="14"/>
      <c r="AI420" s="14"/>
      <c r="AJ420" s="14"/>
      <c r="AK420" s="14"/>
      <c r="AL420" s="14"/>
      <c r="AM420" s="14"/>
      <c r="AN420" s="14"/>
      <c r="AO420" s="14"/>
      <c r="AP420" s="14"/>
      <c r="AQ420" s="14"/>
      <c r="AR420" s="14"/>
      <c r="AS420" s="14"/>
      <c r="AT420" s="14"/>
      <c r="AU420" s="80"/>
      <c r="AV420" s="78"/>
      <c r="AW420" s="78"/>
      <c r="AX420" s="81"/>
      <c r="AY420" s="78"/>
      <c r="AZ420" s="78">
        <v>4551995</v>
      </c>
      <c r="BA420" s="17">
        <v>4551995</v>
      </c>
      <c r="BB420" s="17"/>
      <c r="BC420" s="18">
        <f t="shared" si="251"/>
        <v>4551995</v>
      </c>
      <c r="BD420" s="18">
        <f t="shared" si="252"/>
        <v>4551995</v>
      </c>
      <c r="BE420" s="19">
        <f t="shared" si="253"/>
        <v>0</v>
      </c>
      <c r="BF420" s="20">
        <f t="shared" si="254"/>
        <v>0</v>
      </c>
      <c r="BG420" s="20">
        <f t="shared" si="255"/>
        <v>0</v>
      </c>
    </row>
    <row r="421" spans="1:59" ht="14.25" customHeight="1">
      <c r="A421" s="147" t="s">
        <v>59</v>
      </c>
      <c r="B421" s="147" t="s">
        <v>1142</v>
      </c>
      <c r="C421" s="151" t="s">
        <v>1143</v>
      </c>
      <c r="D421" s="151" t="s">
        <v>62</v>
      </c>
      <c r="E421" s="151">
        <v>11</v>
      </c>
      <c r="F421" s="149" t="s">
        <v>1159</v>
      </c>
      <c r="G421" s="147" t="s">
        <v>1145</v>
      </c>
      <c r="H421" s="147" t="s">
        <v>65</v>
      </c>
      <c r="I421" s="147" t="s">
        <v>1146</v>
      </c>
      <c r="J421" s="164">
        <v>80111620</v>
      </c>
      <c r="K421" s="147" t="s">
        <v>1147</v>
      </c>
      <c r="L421" s="147" t="s">
        <v>83</v>
      </c>
      <c r="M421" s="147" t="s">
        <v>1160</v>
      </c>
      <c r="N421" s="147" t="s">
        <v>91</v>
      </c>
      <c r="O421" s="147" t="s">
        <v>91</v>
      </c>
      <c r="P421" s="200" t="s">
        <v>91</v>
      </c>
      <c r="Q421" s="147">
        <v>11</v>
      </c>
      <c r="R421" s="147" t="s">
        <v>72</v>
      </c>
      <c r="S421" s="147" t="s">
        <v>73</v>
      </c>
      <c r="T421" s="147" t="s">
        <v>74</v>
      </c>
      <c r="U421" s="148">
        <v>81400000</v>
      </c>
      <c r="V421" s="175">
        <v>81400000</v>
      </c>
      <c r="W421" s="147" t="s">
        <v>75</v>
      </c>
      <c r="X421" s="147" t="s">
        <v>67</v>
      </c>
      <c r="Y421" s="147" t="s">
        <v>1149</v>
      </c>
      <c r="Z421" s="147" t="s">
        <v>1150</v>
      </c>
      <c r="AA421" s="147">
        <v>6012220601</v>
      </c>
      <c r="AB421" s="160" t="s">
        <v>1151</v>
      </c>
      <c r="AC421" s="62">
        <v>81400000</v>
      </c>
      <c r="AD421" s="14"/>
      <c r="AE421" s="62"/>
      <c r="AF421" s="14">
        <v>1726667</v>
      </c>
      <c r="AG421" s="62"/>
      <c r="AH421" s="14">
        <v>7400000</v>
      </c>
      <c r="AI421" s="14"/>
      <c r="AJ421" s="14">
        <v>7400000</v>
      </c>
      <c r="AK421" s="14"/>
      <c r="AL421" s="14">
        <v>7400000</v>
      </c>
      <c r="AM421" s="14"/>
      <c r="AN421" s="14">
        <v>7400000</v>
      </c>
      <c r="AO421" s="14"/>
      <c r="AP421" s="14">
        <v>7400000</v>
      </c>
      <c r="AQ421" s="14"/>
      <c r="AR421" s="14">
        <v>7400000</v>
      </c>
      <c r="AS421" s="14"/>
      <c r="AT421" s="14">
        <v>7400000</v>
      </c>
      <c r="AU421" s="78"/>
      <c r="AV421" s="31">
        <v>7400000</v>
      </c>
      <c r="AW421" s="78"/>
      <c r="AX421" s="31">
        <v>7400000</v>
      </c>
      <c r="AY421" s="78"/>
      <c r="AZ421" s="31">
        <v>13073333</v>
      </c>
      <c r="BA421" s="17"/>
      <c r="BB421" s="17"/>
      <c r="BC421" s="18">
        <f t="shared" si="251"/>
        <v>81400000</v>
      </c>
      <c r="BD421" s="18">
        <f t="shared" si="252"/>
        <v>81400000</v>
      </c>
      <c r="BE421" s="19">
        <f t="shared" si="253"/>
        <v>0</v>
      </c>
      <c r="BF421" s="20">
        <f t="shared" si="254"/>
        <v>0</v>
      </c>
      <c r="BG421" s="20">
        <f t="shared" si="255"/>
        <v>0</v>
      </c>
    </row>
    <row r="422" spans="1:59" ht="14.25" customHeight="1">
      <c r="A422" s="147" t="s">
        <v>59</v>
      </c>
      <c r="B422" s="147" t="s">
        <v>1142</v>
      </c>
      <c r="C422" s="151" t="s">
        <v>1143</v>
      </c>
      <c r="D422" s="151" t="s">
        <v>62</v>
      </c>
      <c r="E422" s="151">
        <v>46</v>
      </c>
      <c r="F422" s="149" t="s">
        <v>1161</v>
      </c>
      <c r="G422" s="147" t="s">
        <v>1145</v>
      </c>
      <c r="H422" s="147" t="s">
        <v>65</v>
      </c>
      <c r="I422" s="147" t="s">
        <v>1146</v>
      </c>
      <c r="J422" s="164">
        <v>80111620</v>
      </c>
      <c r="K422" s="147" t="s">
        <v>1147</v>
      </c>
      <c r="L422" s="147" t="s">
        <v>83</v>
      </c>
      <c r="M422" s="147" t="s">
        <v>1162</v>
      </c>
      <c r="N422" s="147" t="s">
        <v>127</v>
      </c>
      <c r="O422" s="147" t="s">
        <v>127</v>
      </c>
      <c r="P422" s="200" t="s">
        <v>127</v>
      </c>
      <c r="Q422" s="147">
        <v>7.5</v>
      </c>
      <c r="R422" s="147" t="s">
        <v>72</v>
      </c>
      <c r="S422" s="147" t="s">
        <v>73</v>
      </c>
      <c r="T422" s="147" t="s">
        <v>74</v>
      </c>
      <c r="U422" s="148">
        <v>31202596</v>
      </c>
      <c r="V422" s="148">
        <v>31202596</v>
      </c>
      <c r="W422" s="147" t="s">
        <v>75</v>
      </c>
      <c r="X422" s="147" t="s">
        <v>67</v>
      </c>
      <c r="Y422" s="147" t="s">
        <v>1149</v>
      </c>
      <c r="Z422" s="147" t="s">
        <v>1150</v>
      </c>
      <c r="AA422" s="147">
        <v>6012220601</v>
      </c>
      <c r="AB422" s="160" t="s">
        <v>1151</v>
      </c>
      <c r="AC422" s="62"/>
      <c r="AD422" s="14"/>
      <c r="AE422" s="62"/>
      <c r="AF422" s="14"/>
      <c r="AG422" s="62"/>
      <c r="AH422" s="14"/>
      <c r="AI422" s="14"/>
      <c r="AJ422" s="14"/>
      <c r="AK422" s="14">
        <v>31835497</v>
      </c>
      <c r="AL422" s="14"/>
      <c r="AM422" s="14"/>
      <c r="AN422" s="14"/>
      <c r="AO422" s="14"/>
      <c r="AP422" s="14"/>
      <c r="AQ422" s="14">
        <v>-632901</v>
      </c>
      <c r="AR422" s="14"/>
      <c r="AS422" s="14"/>
      <c r="AT422" s="14"/>
      <c r="AU422" s="23"/>
      <c r="AV422" s="82"/>
      <c r="AW422" s="82"/>
      <c r="AX422" s="82">
        <v>9493510</v>
      </c>
      <c r="AY422" s="23"/>
      <c r="AZ422" s="23">
        <v>21709086</v>
      </c>
      <c r="BA422" s="17"/>
      <c r="BB422" s="17"/>
      <c r="BC422" s="18">
        <f t="shared" si="251"/>
        <v>31202596</v>
      </c>
      <c r="BD422" s="18">
        <f t="shared" si="252"/>
        <v>31202596</v>
      </c>
      <c r="BE422" s="19">
        <f t="shared" si="253"/>
        <v>0</v>
      </c>
      <c r="BF422" s="20">
        <f t="shared" si="254"/>
        <v>0</v>
      </c>
      <c r="BG422" s="20">
        <f t="shared" si="255"/>
        <v>0</v>
      </c>
    </row>
    <row r="423" spans="1:59" ht="14.25" customHeight="1">
      <c r="A423" s="147" t="s">
        <v>59</v>
      </c>
      <c r="B423" s="147" t="s">
        <v>1142</v>
      </c>
      <c r="C423" s="151" t="s">
        <v>1143</v>
      </c>
      <c r="D423" s="151" t="s">
        <v>62</v>
      </c>
      <c r="E423" s="151" t="s">
        <v>114</v>
      </c>
      <c r="F423" s="165" t="s">
        <v>1163</v>
      </c>
      <c r="G423" s="147" t="s">
        <v>1145</v>
      </c>
      <c r="H423" s="147" t="s">
        <v>65</v>
      </c>
      <c r="I423" s="147" t="s">
        <v>1146</v>
      </c>
      <c r="J423" s="164">
        <v>80111620</v>
      </c>
      <c r="K423" s="147" t="s">
        <v>1147</v>
      </c>
      <c r="L423" s="147" t="s">
        <v>83</v>
      </c>
      <c r="M423" s="147" t="s">
        <v>1164</v>
      </c>
      <c r="N423" s="147" t="s">
        <v>85</v>
      </c>
      <c r="O423" s="147" t="s">
        <v>85</v>
      </c>
      <c r="P423" s="200" t="s">
        <v>86</v>
      </c>
      <c r="Q423" s="147">
        <v>10.5</v>
      </c>
      <c r="R423" s="147" t="s">
        <v>72</v>
      </c>
      <c r="S423" s="147" t="s">
        <v>73</v>
      </c>
      <c r="T423" s="147" t="s">
        <v>74</v>
      </c>
      <c r="U423" s="189">
        <v>75075000</v>
      </c>
      <c r="V423" s="177">
        <v>75075000</v>
      </c>
      <c r="W423" s="147" t="s">
        <v>75</v>
      </c>
      <c r="X423" s="147" t="s">
        <v>67</v>
      </c>
      <c r="Y423" s="147" t="s">
        <v>1149</v>
      </c>
      <c r="Z423" s="147" t="s">
        <v>1150</v>
      </c>
      <c r="AA423" s="147">
        <v>6012220601</v>
      </c>
      <c r="AB423" s="160" t="s">
        <v>1151</v>
      </c>
      <c r="AC423" s="62"/>
      <c r="AD423" s="14"/>
      <c r="AE423" s="62"/>
      <c r="AF423" s="14"/>
      <c r="AG423" s="62">
        <v>75075000</v>
      </c>
      <c r="AH423" s="14"/>
      <c r="AI423" s="14"/>
      <c r="AJ423" s="14">
        <v>3412500</v>
      </c>
      <c r="AK423" s="14">
        <v>-787500</v>
      </c>
      <c r="AL423" s="14">
        <v>7875000</v>
      </c>
      <c r="AM423" s="14"/>
      <c r="AN423" s="14">
        <v>7875000</v>
      </c>
      <c r="AO423" s="14"/>
      <c r="AP423" s="14">
        <v>7875000</v>
      </c>
      <c r="AQ423" s="14"/>
      <c r="AR423" s="14">
        <v>7875000</v>
      </c>
      <c r="AS423" s="14"/>
      <c r="AT423" s="14">
        <v>7875000</v>
      </c>
      <c r="AU423" s="78"/>
      <c r="AV423" s="31">
        <v>7875000</v>
      </c>
      <c r="AW423" s="78"/>
      <c r="AX423" s="31">
        <v>7875000</v>
      </c>
      <c r="AY423" s="31"/>
      <c r="AZ423" s="31">
        <v>15750000</v>
      </c>
      <c r="BA423" s="17">
        <v>787500</v>
      </c>
      <c r="BB423" s="17">
        <v>787500</v>
      </c>
      <c r="BC423" s="18">
        <f t="shared" si="251"/>
        <v>75075000</v>
      </c>
      <c r="BD423" s="18">
        <f t="shared" si="252"/>
        <v>75075000</v>
      </c>
      <c r="BE423" s="19">
        <f t="shared" si="253"/>
        <v>0</v>
      </c>
      <c r="BF423" s="20">
        <f t="shared" si="254"/>
        <v>0</v>
      </c>
      <c r="BG423" s="20">
        <f t="shared" si="255"/>
        <v>0</v>
      </c>
    </row>
    <row r="424" spans="1:59" ht="30">
      <c r="A424" s="147" t="s">
        <v>59</v>
      </c>
      <c r="B424" s="147" t="s">
        <v>1142</v>
      </c>
      <c r="C424" s="151" t="s">
        <v>1143</v>
      </c>
      <c r="D424" s="151" t="s">
        <v>62</v>
      </c>
      <c r="E424" s="151">
        <v>2</v>
      </c>
      <c r="F424" s="165" t="s">
        <v>1165</v>
      </c>
      <c r="G424" s="147" t="s">
        <v>1145</v>
      </c>
      <c r="H424" s="147" t="s">
        <v>65</v>
      </c>
      <c r="I424" s="147" t="s">
        <v>1146</v>
      </c>
      <c r="J424" s="164">
        <v>80111620</v>
      </c>
      <c r="K424" s="147" t="s">
        <v>1147</v>
      </c>
      <c r="L424" s="147" t="s">
        <v>83</v>
      </c>
      <c r="M424" s="147" t="s">
        <v>1166</v>
      </c>
      <c r="N424" s="147" t="s">
        <v>85</v>
      </c>
      <c r="O424" s="147" t="s">
        <v>85</v>
      </c>
      <c r="P424" s="200" t="s">
        <v>85</v>
      </c>
      <c r="Q424" s="147">
        <v>10.7</v>
      </c>
      <c r="R424" s="147" t="s">
        <v>72</v>
      </c>
      <c r="S424" s="147" t="s">
        <v>73</v>
      </c>
      <c r="T424" s="147" t="s">
        <v>74</v>
      </c>
      <c r="U424" s="189">
        <v>79900000</v>
      </c>
      <c r="V424" s="148">
        <v>79900000</v>
      </c>
      <c r="W424" s="147" t="s">
        <v>75</v>
      </c>
      <c r="X424" s="147" t="s">
        <v>67</v>
      </c>
      <c r="Y424" s="147" t="s">
        <v>1149</v>
      </c>
      <c r="Z424" s="147" t="s">
        <v>1150</v>
      </c>
      <c r="AA424" s="147">
        <v>6012220601</v>
      </c>
      <c r="AB424" s="160" t="s">
        <v>1151</v>
      </c>
      <c r="AC424" s="62"/>
      <c r="AD424" s="14"/>
      <c r="AE424" s="62">
        <v>79900000</v>
      </c>
      <c r="AF424" s="14"/>
      <c r="AG424" s="62"/>
      <c r="AH424" s="14">
        <v>4370000</v>
      </c>
      <c r="AI424" s="14">
        <v>-460000</v>
      </c>
      <c r="AJ424" s="14">
        <f>6900000+ 535675</f>
        <v>7435675</v>
      </c>
      <c r="AK424" s="14"/>
      <c r="AL424" s="14">
        <v>6900000</v>
      </c>
      <c r="AM424" s="14"/>
      <c r="AN424" s="14">
        <f>6900000+ 945675</f>
        <v>7845675</v>
      </c>
      <c r="AO424" s="14"/>
      <c r="AP424" s="14">
        <v>6900000</v>
      </c>
      <c r="AQ424" s="14"/>
      <c r="AR424" s="14">
        <v>6900000</v>
      </c>
      <c r="AS424" s="14"/>
      <c r="AT424" s="14">
        <v>6900000</v>
      </c>
      <c r="AU424" s="78"/>
      <c r="AV424" s="79">
        <v>7900000</v>
      </c>
      <c r="AW424" s="78"/>
      <c r="AX424" s="79">
        <v>7900000</v>
      </c>
      <c r="AY424" s="78"/>
      <c r="AZ424" s="31">
        <v>15848650</v>
      </c>
      <c r="BA424" s="17">
        <v>460000</v>
      </c>
      <c r="BB424" s="33">
        <v>1000000</v>
      </c>
      <c r="BC424" s="18">
        <f t="shared" si="251"/>
        <v>79900000</v>
      </c>
      <c r="BD424" s="18">
        <f t="shared" si="252"/>
        <v>79900000</v>
      </c>
      <c r="BE424" s="19">
        <f t="shared" si="253"/>
        <v>0</v>
      </c>
      <c r="BF424" s="20">
        <f t="shared" si="254"/>
        <v>0</v>
      </c>
      <c r="BG424" s="20">
        <f t="shared" si="255"/>
        <v>0</v>
      </c>
    </row>
    <row r="425" spans="1:59" ht="30">
      <c r="A425" s="149" t="s">
        <v>59</v>
      </c>
      <c r="B425" s="149" t="s">
        <v>1142</v>
      </c>
      <c r="C425" s="151" t="s">
        <v>1143</v>
      </c>
      <c r="D425" s="166" t="s">
        <v>62</v>
      </c>
      <c r="E425" s="166">
        <v>42</v>
      </c>
      <c r="F425" s="165" t="s">
        <v>1167</v>
      </c>
      <c r="G425" s="149" t="s">
        <v>1145</v>
      </c>
      <c r="H425" s="149" t="s">
        <v>65</v>
      </c>
      <c r="I425" s="149" t="s">
        <v>1146</v>
      </c>
      <c r="J425" s="173">
        <v>78111502</v>
      </c>
      <c r="K425" s="149" t="s">
        <v>1147</v>
      </c>
      <c r="L425" s="149" t="s">
        <v>562</v>
      </c>
      <c r="M425" s="149" t="s">
        <v>1168</v>
      </c>
      <c r="N425" s="147" t="s">
        <v>91</v>
      </c>
      <c r="O425" s="147" t="s">
        <v>91</v>
      </c>
      <c r="P425" s="200" t="s">
        <v>91</v>
      </c>
      <c r="Q425" s="149">
        <v>12</v>
      </c>
      <c r="R425" s="149" t="s">
        <v>72</v>
      </c>
      <c r="S425" s="149" t="s">
        <v>536</v>
      </c>
      <c r="T425" s="149" t="s">
        <v>74</v>
      </c>
      <c r="U425" s="191">
        <v>162547940</v>
      </c>
      <c r="V425" s="175">
        <v>162547940</v>
      </c>
      <c r="W425" s="149" t="s">
        <v>62</v>
      </c>
      <c r="X425" s="149" t="s">
        <v>1169</v>
      </c>
      <c r="Y425" s="149" t="s">
        <v>1170</v>
      </c>
      <c r="Z425" s="149" t="s">
        <v>1150</v>
      </c>
      <c r="AA425" s="149">
        <v>6012220601</v>
      </c>
      <c r="AB425" s="172" t="s">
        <v>1151</v>
      </c>
      <c r="AC425" s="76">
        <v>118330000</v>
      </c>
      <c r="AD425" s="35"/>
      <c r="AE425" s="76"/>
      <c r="AF425" s="35"/>
      <c r="AG425" s="76"/>
      <c r="AH425" s="35">
        <v>15716912</v>
      </c>
      <c r="AI425" s="35"/>
      <c r="AJ425" s="35">
        <v>20647132</v>
      </c>
      <c r="AK425" s="35"/>
      <c r="AL425" s="35">
        <v>58135159</v>
      </c>
      <c r="AM425" s="35">
        <v>25088914</v>
      </c>
      <c r="AN425" s="35"/>
      <c r="AO425" s="35"/>
      <c r="AP425" s="35">
        <v>23968295</v>
      </c>
      <c r="AQ425" s="35"/>
      <c r="AR425" s="35">
        <v>14300366</v>
      </c>
      <c r="AS425" s="35"/>
      <c r="AT425" s="35">
        <v>3199759</v>
      </c>
      <c r="AU425" s="78"/>
      <c r="AV425" s="23"/>
      <c r="AW425" s="83"/>
      <c r="AX425" s="23">
        <v>3725645.5</v>
      </c>
      <c r="AY425" s="83"/>
      <c r="AZ425" s="23">
        <v>3725645.5</v>
      </c>
      <c r="BA425" s="17">
        <v>19129026</v>
      </c>
      <c r="BB425" s="17">
        <v>19129026</v>
      </c>
      <c r="BC425" s="18">
        <f t="shared" si="251"/>
        <v>162547940</v>
      </c>
      <c r="BD425" s="18">
        <f t="shared" si="252"/>
        <v>162547940</v>
      </c>
      <c r="BE425" s="19">
        <f t="shared" si="253"/>
        <v>0</v>
      </c>
      <c r="BF425" s="20">
        <f t="shared" si="254"/>
        <v>0</v>
      </c>
      <c r="BG425" s="20">
        <f t="shared" si="255"/>
        <v>0</v>
      </c>
    </row>
    <row r="426" spans="1:59" ht="30">
      <c r="A426" s="147" t="s">
        <v>59</v>
      </c>
      <c r="B426" s="147" t="s">
        <v>1142</v>
      </c>
      <c r="C426" s="151" t="s">
        <v>1143</v>
      </c>
      <c r="D426" s="151" t="s">
        <v>62</v>
      </c>
      <c r="E426" s="151">
        <v>11</v>
      </c>
      <c r="F426" s="149" t="s">
        <v>1171</v>
      </c>
      <c r="G426" s="147" t="s">
        <v>1145</v>
      </c>
      <c r="H426" s="147" t="s">
        <v>65</v>
      </c>
      <c r="I426" s="147" t="s">
        <v>1146</v>
      </c>
      <c r="J426" s="164">
        <v>80111620</v>
      </c>
      <c r="K426" s="147" t="s">
        <v>1147</v>
      </c>
      <c r="L426" s="147" t="s">
        <v>83</v>
      </c>
      <c r="M426" s="147" t="s">
        <v>1172</v>
      </c>
      <c r="N426" s="147" t="s">
        <v>85</v>
      </c>
      <c r="O426" s="147" t="s">
        <v>85</v>
      </c>
      <c r="P426" s="200" t="s">
        <v>85</v>
      </c>
      <c r="Q426" s="147">
        <v>9</v>
      </c>
      <c r="R426" s="147" t="s">
        <v>72</v>
      </c>
      <c r="S426" s="147" t="s">
        <v>73</v>
      </c>
      <c r="T426" s="147" t="s">
        <v>74</v>
      </c>
      <c r="U426" s="148">
        <v>66000000</v>
      </c>
      <c r="V426" s="175">
        <v>66000000</v>
      </c>
      <c r="W426" s="147" t="s">
        <v>75</v>
      </c>
      <c r="X426" s="147" t="s">
        <v>67</v>
      </c>
      <c r="Y426" s="147" t="s">
        <v>1149</v>
      </c>
      <c r="Z426" s="147" t="s">
        <v>1150</v>
      </c>
      <c r="AA426" s="147">
        <v>6012220601</v>
      </c>
      <c r="AB426" s="160" t="s">
        <v>1151</v>
      </c>
      <c r="AC426" s="62"/>
      <c r="AD426" s="14"/>
      <c r="AE426" s="62">
        <v>66000000</v>
      </c>
      <c r="AF426" s="14"/>
      <c r="AG426" s="62"/>
      <c r="AH426" s="14">
        <v>1400000</v>
      </c>
      <c r="AI426" s="14"/>
      <c r="AJ426" s="14">
        <v>7000000</v>
      </c>
      <c r="AK426" s="14"/>
      <c r="AL426" s="14">
        <f>7000000+ 826125</f>
        <v>7826125</v>
      </c>
      <c r="AM426" s="14"/>
      <c r="AN426" s="14">
        <f>7000000+ 826125</f>
        <v>7826125</v>
      </c>
      <c r="AO426" s="14"/>
      <c r="AP426" s="14">
        <f>7000000+ 495675</f>
        <v>7495675</v>
      </c>
      <c r="AQ426" s="14"/>
      <c r="AR426" s="14">
        <v>7000000</v>
      </c>
      <c r="AS426" s="14"/>
      <c r="AT426" s="14">
        <v>7000000</v>
      </c>
      <c r="AU426" s="79"/>
      <c r="AV426" s="31">
        <v>7000000</v>
      </c>
      <c r="AW426" s="78"/>
      <c r="AX426" s="31">
        <v>7000000</v>
      </c>
      <c r="AY426" s="78"/>
      <c r="AZ426" s="31">
        <v>6452075</v>
      </c>
      <c r="BA426" s="17"/>
      <c r="BB426" s="17"/>
      <c r="BC426" s="18">
        <f t="shared" si="251"/>
        <v>66000000</v>
      </c>
      <c r="BD426" s="18">
        <f t="shared" si="252"/>
        <v>66000000</v>
      </c>
      <c r="BE426" s="19">
        <f t="shared" si="253"/>
        <v>0</v>
      </c>
      <c r="BF426" s="20">
        <f t="shared" si="254"/>
        <v>0</v>
      </c>
      <c r="BG426" s="20">
        <f t="shared" si="255"/>
        <v>0</v>
      </c>
    </row>
    <row r="427" spans="1:59" ht="14.25" customHeight="1">
      <c r="A427" s="149" t="s">
        <v>59</v>
      </c>
      <c r="B427" s="149" t="s">
        <v>1142</v>
      </c>
      <c r="C427" s="151" t="s">
        <v>1143</v>
      </c>
      <c r="D427" s="166" t="s">
        <v>62</v>
      </c>
      <c r="E427" s="166">
        <v>38</v>
      </c>
      <c r="F427" s="149" t="s">
        <v>1173</v>
      </c>
      <c r="G427" s="147" t="s">
        <v>1174</v>
      </c>
      <c r="H427" s="147" t="s">
        <v>1175</v>
      </c>
      <c r="I427" s="147" t="s">
        <v>1176</v>
      </c>
      <c r="J427" s="173">
        <v>80111620</v>
      </c>
      <c r="K427" s="147" t="s">
        <v>1177</v>
      </c>
      <c r="L427" s="149" t="s">
        <v>83</v>
      </c>
      <c r="M427" s="149" t="s">
        <v>1178</v>
      </c>
      <c r="N427" s="147" t="s">
        <v>100</v>
      </c>
      <c r="O427" s="147" t="s">
        <v>100</v>
      </c>
      <c r="P427" s="200" t="s">
        <v>100</v>
      </c>
      <c r="Q427" s="149">
        <v>5.5</v>
      </c>
      <c r="R427" s="149" t="s">
        <v>72</v>
      </c>
      <c r="S427" s="149" t="s">
        <v>73</v>
      </c>
      <c r="T427" s="149" t="s">
        <v>74</v>
      </c>
      <c r="U427" s="175">
        <v>0</v>
      </c>
      <c r="V427" s="175">
        <v>0</v>
      </c>
      <c r="W427" s="149" t="s">
        <v>75</v>
      </c>
      <c r="X427" s="149" t="s">
        <v>67</v>
      </c>
      <c r="Y427" s="149" t="s">
        <v>1149</v>
      </c>
      <c r="Z427" s="149" t="s">
        <v>1150</v>
      </c>
      <c r="AA427" s="149">
        <v>6012220601</v>
      </c>
      <c r="AB427" s="172" t="s">
        <v>1151</v>
      </c>
      <c r="AC427" s="76"/>
      <c r="AD427" s="35"/>
      <c r="AE427" s="76"/>
      <c r="AF427" s="35"/>
      <c r="AG427" s="76"/>
      <c r="AH427" s="35"/>
      <c r="AI427" s="35"/>
      <c r="AJ427" s="35"/>
      <c r="AK427" s="35"/>
      <c r="AL427" s="35"/>
      <c r="AM427" s="35"/>
      <c r="AN427" s="35"/>
      <c r="AO427" s="35"/>
      <c r="AP427" s="35"/>
      <c r="AQ427" s="35"/>
      <c r="AR427" s="35"/>
      <c r="AS427" s="35"/>
      <c r="AT427" s="35"/>
      <c r="AU427" s="23"/>
      <c r="AV427" s="23"/>
      <c r="AW427" s="23"/>
      <c r="AX427" s="23"/>
      <c r="AY427" s="23"/>
      <c r="AZ427" s="23"/>
      <c r="BA427" s="17"/>
      <c r="BB427" s="17"/>
      <c r="BC427" s="18">
        <f t="shared" si="251"/>
        <v>0</v>
      </c>
      <c r="BD427" s="18">
        <f t="shared" si="252"/>
        <v>0</v>
      </c>
      <c r="BE427" s="19">
        <f t="shared" si="253"/>
        <v>0</v>
      </c>
      <c r="BF427" s="20">
        <f t="shared" si="254"/>
        <v>0</v>
      </c>
      <c r="BG427" s="20">
        <f t="shared" si="255"/>
        <v>0</v>
      </c>
    </row>
    <row r="428" spans="1:59" ht="14.25" customHeight="1">
      <c r="A428" s="147" t="s">
        <v>59</v>
      </c>
      <c r="B428" s="147" t="s">
        <v>1142</v>
      </c>
      <c r="C428" s="151" t="s">
        <v>1143</v>
      </c>
      <c r="D428" s="151" t="s">
        <v>62</v>
      </c>
      <c r="E428" s="151">
        <v>46</v>
      </c>
      <c r="F428" s="149" t="s">
        <v>1179</v>
      </c>
      <c r="G428" s="147" t="s">
        <v>1145</v>
      </c>
      <c r="H428" s="147" t="s">
        <v>65</v>
      </c>
      <c r="I428" s="147" t="s">
        <v>1146</v>
      </c>
      <c r="J428" s="164">
        <v>80111620</v>
      </c>
      <c r="K428" s="147" t="s">
        <v>1147</v>
      </c>
      <c r="L428" s="147" t="s">
        <v>83</v>
      </c>
      <c r="M428" s="147" t="s">
        <v>1180</v>
      </c>
      <c r="N428" s="147" t="s">
        <v>86</v>
      </c>
      <c r="O428" s="147" t="s">
        <v>86</v>
      </c>
      <c r="P428" s="200" t="s">
        <v>99</v>
      </c>
      <c r="Q428" s="147">
        <v>8</v>
      </c>
      <c r="R428" s="147" t="s">
        <v>72</v>
      </c>
      <c r="S428" s="147" t="s">
        <v>73</v>
      </c>
      <c r="T428" s="147" t="s">
        <v>74</v>
      </c>
      <c r="U428" s="148">
        <v>34276480</v>
      </c>
      <c r="V428" s="148">
        <v>34276480</v>
      </c>
      <c r="W428" s="147" t="s">
        <v>75</v>
      </c>
      <c r="X428" s="147" t="s">
        <v>67</v>
      </c>
      <c r="Y428" s="147" t="s">
        <v>1149</v>
      </c>
      <c r="Z428" s="147" t="s">
        <v>1150</v>
      </c>
      <c r="AA428" s="147">
        <v>6012220601</v>
      </c>
      <c r="AB428" s="160" t="s">
        <v>1151</v>
      </c>
      <c r="AC428" s="62"/>
      <c r="AD428" s="14"/>
      <c r="AE428" s="62"/>
      <c r="AF428" s="14"/>
      <c r="AG428" s="62"/>
      <c r="AH428" s="14"/>
      <c r="AI428" s="14">
        <v>34276480</v>
      </c>
      <c r="AJ428" s="14"/>
      <c r="AK428" s="14"/>
      <c r="AL428" s="14">
        <v>3366440</v>
      </c>
      <c r="AM428" s="14"/>
      <c r="AN428" s="14">
        <v>4590600</v>
      </c>
      <c r="AO428" s="14"/>
      <c r="AP428" s="14">
        <v>4590600</v>
      </c>
      <c r="AQ428" s="14"/>
      <c r="AR428" s="14">
        <v>4590600</v>
      </c>
      <c r="AS428" s="14"/>
      <c r="AT428" s="14">
        <v>4590600</v>
      </c>
      <c r="AU428" s="31"/>
      <c r="AV428" s="79">
        <v>4590600</v>
      </c>
      <c r="AW428" s="79"/>
      <c r="AX428" s="79">
        <v>4590600</v>
      </c>
      <c r="AY428" s="79"/>
      <c r="AZ428" s="31">
        <v>3366440</v>
      </c>
      <c r="BA428" s="17"/>
      <c r="BB428" s="17"/>
      <c r="BC428" s="18">
        <f t="shared" si="251"/>
        <v>34276480</v>
      </c>
      <c r="BD428" s="18">
        <f t="shared" si="252"/>
        <v>34276480</v>
      </c>
      <c r="BE428" s="19">
        <f t="shared" si="253"/>
        <v>0</v>
      </c>
      <c r="BF428" s="20">
        <f t="shared" si="254"/>
        <v>0</v>
      </c>
      <c r="BG428" s="20">
        <f t="shared" si="255"/>
        <v>0</v>
      </c>
    </row>
    <row r="429" spans="1:59" ht="14.25" customHeight="1">
      <c r="A429" s="147" t="s">
        <v>59</v>
      </c>
      <c r="B429" s="147" t="s">
        <v>1142</v>
      </c>
      <c r="C429" s="151" t="s">
        <v>1143</v>
      </c>
      <c r="D429" s="151" t="s">
        <v>62</v>
      </c>
      <c r="E429" s="151">
        <v>11</v>
      </c>
      <c r="F429" s="149" t="s">
        <v>1181</v>
      </c>
      <c r="G429" s="147" t="s">
        <v>1145</v>
      </c>
      <c r="H429" s="147" t="s">
        <v>65</v>
      </c>
      <c r="I429" s="147" t="s">
        <v>1146</v>
      </c>
      <c r="J429" s="164">
        <v>80111620</v>
      </c>
      <c r="K429" s="147" t="s">
        <v>1147</v>
      </c>
      <c r="L429" s="147" t="s">
        <v>83</v>
      </c>
      <c r="M429" s="147" t="s">
        <v>1182</v>
      </c>
      <c r="N429" s="147" t="s">
        <v>85</v>
      </c>
      <c r="O429" s="147" t="s">
        <v>85</v>
      </c>
      <c r="P429" s="200" t="s">
        <v>85</v>
      </c>
      <c r="Q429" s="147">
        <v>8</v>
      </c>
      <c r="R429" s="147" t="s">
        <v>72</v>
      </c>
      <c r="S429" s="147" t="s">
        <v>73</v>
      </c>
      <c r="T429" s="147" t="s">
        <v>74</v>
      </c>
      <c r="U429" s="148">
        <v>56000000</v>
      </c>
      <c r="V429" s="175">
        <v>56000000</v>
      </c>
      <c r="W429" s="147" t="s">
        <v>75</v>
      </c>
      <c r="X429" s="147" t="s">
        <v>67</v>
      </c>
      <c r="Y429" s="147" t="s">
        <v>1149</v>
      </c>
      <c r="Z429" s="147" t="s">
        <v>1150</v>
      </c>
      <c r="AA429" s="147">
        <v>6012220601</v>
      </c>
      <c r="AB429" s="160" t="s">
        <v>1151</v>
      </c>
      <c r="AC429" s="62"/>
      <c r="AD429" s="14"/>
      <c r="AE429" s="62">
        <f>50000000+6000000</f>
        <v>56000000</v>
      </c>
      <c r="AF429" s="14"/>
      <c r="AG429" s="62"/>
      <c r="AH429" s="14">
        <v>2333333</v>
      </c>
      <c r="AI429" s="14"/>
      <c r="AJ429" s="14">
        <v>7000000</v>
      </c>
      <c r="AK429" s="14"/>
      <c r="AL429" s="14">
        <v>7000000</v>
      </c>
      <c r="AM429" s="14"/>
      <c r="AN429" s="14">
        <v>7000000</v>
      </c>
      <c r="AO429" s="14"/>
      <c r="AP429" s="14">
        <v>7000000</v>
      </c>
      <c r="AQ429" s="14"/>
      <c r="AR429" s="14">
        <v>7000000</v>
      </c>
      <c r="AS429" s="14"/>
      <c r="AT429" s="14">
        <v>7000000</v>
      </c>
      <c r="AU429" s="78"/>
      <c r="AV429" s="79">
        <v>7000000</v>
      </c>
      <c r="AW429" s="78"/>
      <c r="AX429" s="31">
        <v>4666667</v>
      </c>
      <c r="AY429" s="78"/>
      <c r="AZ429" s="31"/>
      <c r="BA429" s="17"/>
      <c r="BB429" s="17"/>
      <c r="BC429" s="18">
        <f t="shared" si="251"/>
        <v>56000000</v>
      </c>
      <c r="BD429" s="18">
        <f t="shared" si="252"/>
        <v>56000000</v>
      </c>
      <c r="BE429" s="19">
        <f t="shared" si="253"/>
        <v>0</v>
      </c>
      <c r="BF429" s="20">
        <f t="shared" si="254"/>
        <v>0</v>
      </c>
      <c r="BG429" s="20">
        <f t="shared" si="255"/>
        <v>0</v>
      </c>
    </row>
    <row r="430" spans="1:59" ht="14.25" customHeight="1">
      <c r="A430" s="147" t="s">
        <v>59</v>
      </c>
      <c r="B430" s="147" t="s">
        <v>1142</v>
      </c>
      <c r="C430" s="151" t="s">
        <v>1143</v>
      </c>
      <c r="D430" s="151" t="s">
        <v>62</v>
      </c>
      <c r="E430" s="151">
        <v>46</v>
      </c>
      <c r="F430" s="165" t="s">
        <v>1183</v>
      </c>
      <c r="G430" s="147" t="s">
        <v>1145</v>
      </c>
      <c r="H430" s="147" t="s">
        <v>65</v>
      </c>
      <c r="I430" s="147" t="s">
        <v>1146</v>
      </c>
      <c r="J430" s="164">
        <v>80111620</v>
      </c>
      <c r="K430" s="147" t="s">
        <v>1147</v>
      </c>
      <c r="L430" s="147" t="s">
        <v>83</v>
      </c>
      <c r="M430" s="147" t="s">
        <v>1184</v>
      </c>
      <c r="N430" s="147" t="s">
        <v>86</v>
      </c>
      <c r="O430" s="147" t="s">
        <v>86</v>
      </c>
      <c r="P430" s="200" t="s">
        <v>99</v>
      </c>
      <c r="Q430" s="147">
        <v>7</v>
      </c>
      <c r="R430" s="147" t="s">
        <v>72</v>
      </c>
      <c r="S430" s="147" t="s">
        <v>73</v>
      </c>
      <c r="T430" s="147" t="s">
        <v>74</v>
      </c>
      <c r="U430" s="189">
        <v>42000000</v>
      </c>
      <c r="V430" s="148">
        <v>42000000</v>
      </c>
      <c r="W430" s="147" t="s">
        <v>75</v>
      </c>
      <c r="X430" s="147" t="s">
        <v>67</v>
      </c>
      <c r="Y430" s="147" t="s">
        <v>1149</v>
      </c>
      <c r="Z430" s="147" t="s">
        <v>1150</v>
      </c>
      <c r="AA430" s="147">
        <v>6012220601</v>
      </c>
      <c r="AB430" s="160" t="s">
        <v>1151</v>
      </c>
      <c r="AC430" s="62"/>
      <c r="AD430" s="14"/>
      <c r="AE430" s="62"/>
      <c r="AF430" s="14"/>
      <c r="AG430" s="62"/>
      <c r="AH430" s="14"/>
      <c r="AI430" s="14">
        <v>42000000</v>
      </c>
      <c r="AJ430" s="14"/>
      <c r="AK430" s="14"/>
      <c r="AL430" s="14"/>
      <c r="AM430" s="14"/>
      <c r="AN430" s="14">
        <v>13766666</v>
      </c>
      <c r="AO430" s="14"/>
      <c r="AP430" s="14"/>
      <c r="AQ430" s="14"/>
      <c r="AR430" s="14">
        <v>7000000</v>
      </c>
      <c r="AS430" s="14">
        <v>-6066667</v>
      </c>
      <c r="AT430" s="14">
        <f>7000000+7000000</f>
        <v>14000000</v>
      </c>
      <c r="AU430" s="84"/>
      <c r="AV430" s="31">
        <v>1166667</v>
      </c>
      <c r="AW430" s="79"/>
      <c r="AX430" s="31"/>
      <c r="AY430" s="79"/>
      <c r="AZ430" s="79"/>
      <c r="BA430" s="17">
        <v>6066667</v>
      </c>
      <c r="BB430" s="17">
        <v>6066667</v>
      </c>
      <c r="BC430" s="18">
        <f t="shared" si="251"/>
        <v>42000000</v>
      </c>
      <c r="BD430" s="18">
        <f t="shared" si="252"/>
        <v>42000000</v>
      </c>
      <c r="BE430" s="19">
        <f t="shared" si="253"/>
        <v>0</v>
      </c>
      <c r="BF430" s="20">
        <f t="shared" si="254"/>
        <v>0</v>
      </c>
      <c r="BG430" s="20">
        <f t="shared" si="255"/>
        <v>0</v>
      </c>
    </row>
    <row r="431" spans="1:59" ht="14.25" customHeight="1">
      <c r="A431" s="147" t="s">
        <v>59</v>
      </c>
      <c r="B431" s="147" t="s">
        <v>1142</v>
      </c>
      <c r="C431" s="151" t="s">
        <v>1143</v>
      </c>
      <c r="D431" s="151" t="s">
        <v>62</v>
      </c>
      <c r="E431" s="151" t="s">
        <v>114</v>
      </c>
      <c r="F431" s="149" t="s">
        <v>1185</v>
      </c>
      <c r="G431" s="147" t="s">
        <v>1145</v>
      </c>
      <c r="H431" s="147" t="s">
        <v>65</v>
      </c>
      <c r="I431" s="147" t="s">
        <v>1146</v>
      </c>
      <c r="J431" s="164">
        <v>80111620</v>
      </c>
      <c r="K431" s="147" t="s">
        <v>1147</v>
      </c>
      <c r="L431" s="147" t="s">
        <v>83</v>
      </c>
      <c r="M431" s="200" t="s">
        <v>1186</v>
      </c>
      <c r="N431" s="147" t="s">
        <v>91</v>
      </c>
      <c r="O431" s="147" t="s">
        <v>91</v>
      </c>
      <c r="P431" s="200" t="s">
        <v>91</v>
      </c>
      <c r="Q431" s="147">
        <v>11.5</v>
      </c>
      <c r="R431" s="147" t="s">
        <v>72</v>
      </c>
      <c r="S431" s="147" t="s">
        <v>73</v>
      </c>
      <c r="T431" s="147" t="s">
        <v>74</v>
      </c>
      <c r="U431" s="148">
        <v>66000000</v>
      </c>
      <c r="V431" s="177">
        <v>66000000</v>
      </c>
      <c r="W431" s="147" t="s">
        <v>75</v>
      </c>
      <c r="X431" s="147" t="s">
        <v>67</v>
      </c>
      <c r="Y431" s="147" t="s">
        <v>1149</v>
      </c>
      <c r="Z431" s="147" t="s">
        <v>1150</v>
      </c>
      <c r="AA431" s="147">
        <v>6012220601</v>
      </c>
      <c r="AB431" s="160" t="s">
        <v>1151</v>
      </c>
      <c r="AC431" s="62">
        <v>66000000</v>
      </c>
      <c r="AD431" s="14"/>
      <c r="AE431" s="62"/>
      <c r="AF431" s="14">
        <v>2933333</v>
      </c>
      <c r="AG431" s="62"/>
      <c r="AH431" s="14">
        <v>8000000</v>
      </c>
      <c r="AI431" s="14"/>
      <c r="AJ431" s="14">
        <v>8000000</v>
      </c>
      <c r="AK431" s="14"/>
      <c r="AL431" s="14">
        <v>8000000</v>
      </c>
      <c r="AM431" s="14"/>
      <c r="AN431" s="14">
        <v>8000000</v>
      </c>
      <c r="AO431" s="14"/>
      <c r="AP431" s="14">
        <v>8000000</v>
      </c>
      <c r="AQ431" s="14"/>
      <c r="AR431" s="14">
        <v>8000000</v>
      </c>
      <c r="AS431" s="14"/>
      <c r="AT431" s="14">
        <v>8000000</v>
      </c>
      <c r="AU431" s="78"/>
      <c r="AV431" s="31">
        <v>7066667</v>
      </c>
      <c r="AW431" s="78"/>
      <c r="AX431" s="78"/>
      <c r="AY431" s="78"/>
      <c r="AZ431" s="78"/>
      <c r="BA431" s="17"/>
      <c r="BB431" s="17"/>
      <c r="BC431" s="18">
        <f t="shared" si="251"/>
        <v>66000000</v>
      </c>
      <c r="BD431" s="18">
        <f t="shared" si="252"/>
        <v>66000000</v>
      </c>
      <c r="BE431" s="19">
        <f t="shared" si="253"/>
        <v>0</v>
      </c>
      <c r="BF431" s="20">
        <f t="shared" si="254"/>
        <v>0</v>
      </c>
      <c r="BG431" s="20">
        <f t="shared" si="255"/>
        <v>0</v>
      </c>
    </row>
    <row r="432" spans="1:59" ht="14.25" customHeight="1">
      <c r="A432" s="149" t="s">
        <v>59</v>
      </c>
      <c r="B432" s="149" t="s">
        <v>1142</v>
      </c>
      <c r="C432" s="151" t="s">
        <v>1143</v>
      </c>
      <c r="D432" s="166" t="s">
        <v>62</v>
      </c>
      <c r="E432" s="151">
        <v>46</v>
      </c>
      <c r="F432" s="149" t="s">
        <v>1187</v>
      </c>
      <c r="G432" s="149" t="s">
        <v>1145</v>
      </c>
      <c r="H432" s="149" t="s">
        <v>65</v>
      </c>
      <c r="I432" s="147" t="s">
        <v>1146</v>
      </c>
      <c r="J432" s="164">
        <v>80111620</v>
      </c>
      <c r="K432" s="149" t="s">
        <v>1147</v>
      </c>
      <c r="L432" s="147" t="s">
        <v>83</v>
      </c>
      <c r="M432" s="149" t="s">
        <v>1188</v>
      </c>
      <c r="N432" s="149" t="s">
        <v>142</v>
      </c>
      <c r="O432" s="149" t="s">
        <v>142</v>
      </c>
      <c r="P432" s="200" t="s">
        <v>142</v>
      </c>
      <c r="Q432" s="149">
        <v>4.5</v>
      </c>
      <c r="R432" s="149" t="s">
        <v>72</v>
      </c>
      <c r="S432" s="147" t="s">
        <v>73</v>
      </c>
      <c r="T432" s="149" t="s">
        <v>74</v>
      </c>
      <c r="U432" s="175">
        <v>22500000</v>
      </c>
      <c r="V432" s="175">
        <v>22500000</v>
      </c>
      <c r="W432" s="149" t="s">
        <v>75</v>
      </c>
      <c r="X432" s="149" t="s">
        <v>67</v>
      </c>
      <c r="Y432" s="149" t="s">
        <v>1149</v>
      </c>
      <c r="Z432" s="149" t="s">
        <v>1150</v>
      </c>
      <c r="AA432" s="149">
        <v>6012220601</v>
      </c>
      <c r="AB432" s="172" t="s">
        <v>1151</v>
      </c>
      <c r="AC432" s="76"/>
      <c r="AD432" s="35"/>
      <c r="AE432" s="76"/>
      <c r="AF432" s="35"/>
      <c r="AG432" s="76"/>
      <c r="AH432" s="35"/>
      <c r="AI432" s="35"/>
      <c r="AJ432" s="35"/>
      <c r="AK432" s="35"/>
      <c r="AL432" s="35"/>
      <c r="AM432" s="35"/>
      <c r="AN432" s="35"/>
      <c r="AO432" s="35"/>
      <c r="AP432" s="35"/>
      <c r="AQ432" s="35"/>
      <c r="AR432" s="35"/>
      <c r="AS432" s="35"/>
      <c r="AT432" s="35"/>
      <c r="AU432" s="79">
        <v>22500000</v>
      </c>
      <c r="AV432" s="82"/>
      <c r="AW432" s="85"/>
      <c r="AX432" s="82">
        <v>7500000</v>
      </c>
      <c r="AY432" s="85"/>
      <c r="AZ432" s="23">
        <v>15000000</v>
      </c>
      <c r="BA432" s="17"/>
      <c r="BB432" s="17"/>
      <c r="BC432" s="18">
        <f t="shared" si="251"/>
        <v>22500000</v>
      </c>
      <c r="BD432" s="18">
        <f t="shared" si="252"/>
        <v>22500000</v>
      </c>
      <c r="BE432" s="19">
        <f t="shared" si="253"/>
        <v>0</v>
      </c>
      <c r="BF432" s="20">
        <f t="shared" si="254"/>
        <v>0</v>
      </c>
      <c r="BG432" s="20">
        <f t="shared" si="255"/>
        <v>0</v>
      </c>
    </row>
    <row r="433" spans="1:59" ht="14.25" customHeight="1">
      <c r="A433" s="149" t="s">
        <v>59</v>
      </c>
      <c r="B433" s="149" t="s">
        <v>1142</v>
      </c>
      <c r="C433" s="151" t="s">
        <v>1143</v>
      </c>
      <c r="D433" s="166" t="s">
        <v>62</v>
      </c>
      <c r="E433" s="151">
        <v>13</v>
      </c>
      <c r="F433" s="149" t="s">
        <v>1189</v>
      </c>
      <c r="G433" s="149" t="s">
        <v>1145</v>
      </c>
      <c r="H433" s="149" t="s">
        <v>65</v>
      </c>
      <c r="I433" s="149" t="s">
        <v>1146</v>
      </c>
      <c r="J433" s="173">
        <v>80101602</v>
      </c>
      <c r="K433" s="149" t="s">
        <v>1147</v>
      </c>
      <c r="L433" s="149" t="s">
        <v>750</v>
      </c>
      <c r="M433" s="149" t="s">
        <v>1190</v>
      </c>
      <c r="N433" s="149" t="s">
        <v>86</v>
      </c>
      <c r="O433" s="149" t="s">
        <v>86</v>
      </c>
      <c r="P433" s="200" t="s">
        <v>99</v>
      </c>
      <c r="Q433" s="149">
        <v>7</v>
      </c>
      <c r="R433" s="149" t="s">
        <v>72</v>
      </c>
      <c r="S433" s="149" t="s">
        <v>222</v>
      </c>
      <c r="T433" s="149" t="s">
        <v>74</v>
      </c>
      <c r="U433" s="175">
        <v>60000000</v>
      </c>
      <c r="V433" s="175">
        <v>60000000</v>
      </c>
      <c r="W433" s="149" t="s">
        <v>75</v>
      </c>
      <c r="X433" s="149" t="s">
        <v>67</v>
      </c>
      <c r="Y433" s="149" t="s">
        <v>1149</v>
      </c>
      <c r="Z433" s="149" t="s">
        <v>1150</v>
      </c>
      <c r="AA433" s="149">
        <v>6012220601</v>
      </c>
      <c r="AB433" s="172" t="s">
        <v>1151</v>
      </c>
      <c r="AC433" s="76"/>
      <c r="AD433" s="35"/>
      <c r="AE433" s="76"/>
      <c r="AF433" s="35"/>
      <c r="AG433" s="76"/>
      <c r="AH433" s="35"/>
      <c r="AI433" s="35">
        <v>60000000</v>
      </c>
      <c r="AJ433" s="35"/>
      <c r="AK433" s="35"/>
      <c r="AL433" s="35"/>
      <c r="AM433" s="35"/>
      <c r="AN433" s="35"/>
      <c r="AO433" s="35"/>
      <c r="AP433" s="35"/>
      <c r="AQ433" s="35"/>
      <c r="AR433" s="35">
        <v>12000000</v>
      </c>
      <c r="AS433" s="35"/>
      <c r="AT433" s="35"/>
      <c r="AU433" s="23"/>
      <c r="AV433" s="23"/>
      <c r="AW433" s="23"/>
      <c r="AX433" s="23">
        <v>42000000</v>
      </c>
      <c r="AY433" s="23"/>
      <c r="AZ433" s="23">
        <v>6000000</v>
      </c>
      <c r="BA433" s="17"/>
      <c r="BB433" s="17"/>
      <c r="BC433" s="18">
        <f t="shared" si="251"/>
        <v>60000000</v>
      </c>
      <c r="BD433" s="18">
        <f t="shared" si="252"/>
        <v>60000000</v>
      </c>
      <c r="BE433" s="19">
        <f t="shared" si="253"/>
        <v>0</v>
      </c>
      <c r="BF433" s="20">
        <f t="shared" si="254"/>
        <v>0</v>
      </c>
      <c r="BG433" s="20">
        <f t="shared" si="255"/>
        <v>0</v>
      </c>
    </row>
    <row r="434" spans="1:59" ht="14.25" customHeight="1">
      <c r="A434" s="149" t="s">
        <v>59</v>
      </c>
      <c r="B434" s="149" t="s">
        <v>1142</v>
      </c>
      <c r="C434" s="151" t="s">
        <v>1143</v>
      </c>
      <c r="D434" s="166" t="s">
        <v>62</v>
      </c>
      <c r="E434" s="151">
        <v>13</v>
      </c>
      <c r="F434" s="165" t="s">
        <v>1191</v>
      </c>
      <c r="G434" s="149" t="s">
        <v>1145</v>
      </c>
      <c r="H434" s="149" t="s">
        <v>65</v>
      </c>
      <c r="I434" s="149" t="s">
        <v>1146</v>
      </c>
      <c r="J434" s="173">
        <v>80111620</v>
      </c>
      <c r="K434" s="149" t="s">
        <v>1147</v>
      </c>
      <c r="L434" s="149" t="s">
        <v>83</v>
      </c>
      <c r="M434" s="149" t="s">
        <v>1192</v>
      </c>
      <c r="N434" s="149" t="s">
        <v>86</v>
      </c>
      <c r="O434" s="149" t="s">
        <v>86</v>
      </c>
      <c r="P434" s="200" t="s">
        <v>99</v>
      </c>
      <c r="Q434" s="149">
        <v>9</v>
      </c>
      <c r="R434" s="149" t="s">
        <v>72</v>
      </c>
      <c r="S434" s="149" t="s">
        <v>73</v>
      </c>
      <c r="T434" s="149" t="s">
        <v>74</v>
      </c>
      <c r="U434" s="191">
        <v>85340001</v>
      </c>
      <c r="V434" s="175">
        <v>85340001</v>
      </c>
      <c r="W434" s="149" t="s">
        <v>75</v>
      </c>
      <c r="X434" s="149" t="s">
        <v>67</v>
      </c>
      <c r="Y434" s="149" t="s">
        <v>1149</v>
      </c>
      <c r="Z434" s="149" t="s">
        <v>1150</v>
      </c>
      <c r="AA434" s="149">
        <v>6012220601</v>
      </c>
      <c r="AB434" s="172" t="s">
        <v>1151</v>
      </c>
      <c r="AC434" s="76"/>
      <c r="AD434" s="35"/>
      <c r="AE434" s="76"/>
      <c r="AF434" s="35"/>
      <c r="AG434" s="76"/>
      <c r="AH434" s="35"/>
      <c r="AI434" s="35">
        <v>85340001</v>
      </c>
      <c r="AJ434" s="35"/>
      <c r="AK434" s="35"/>
      <c r="AL434" s="35">
        <v>6897700</v>
      </c>
      <c r="AM434" s="35">
        <v>-2099300</v>
      </c>
      <c r="AN434" s="35">
        <v>8997000</v>
      </c>
      <c r="AO434" s="35"/>
      <c r="AP434" s="35">
        <v>8997000</v>
      </c>
      <c r="AQ434" s="35"/>
      <c r="AR434" s="35">
        <v>8997000</v>
      </c>
      <c r="AS434" s="35"/>
      <c r="AT434" s="35">
        <v>8997000</v>
      </c>
      <c r="AU434" s="79"/>
      <c r="AV434" s="23">
        <v>8997000</v>
      </c>
      <c r="AW434" s="82"/>
      <c r="AX434" s="23">
        <v>8997000</v>
      </c>
      <c r="AY434" s="82"/>
      <c r="AZ434" s="23">
        <v>17994000</v>
      </c>
      <c r="BA434" s="17">
        <v>2099300</v>
      </c>
      <c r="BB434" s="17">
        <v>6466301</v>
      </c>
      <c r="BC434" s="18">
        <f t="shared" si="251"/>
        <v>85340001</v>
      </c>
      <c r="BD434" s="18">
        <f t="shared" si="252"/>
        <v>85340001</v>
      </c>
      <c r="BE434" s="19">
        <f t="shared" si="253"/>
        <v>0</v>
      </c>
      <c r="BF434" s="20">
        <f t="shared" si="254"/>
        <v>0</v>
      </c>
      <c r="BG434" s="20">
        <f t="shared" si="255"/>
        <v>0</v>
      </c>
    </row>
    <row r="435" spans="1:59" ht="14.25" customHeight="1">
      <c r="A435" s="150" t="s">
        <v>59</v>
      </c>
      <c r="B435" s="150" t="s">
        <v>1142</v>
      </c>
      <c r="C435" s="152" t="s">
        <v>1143</v>
      </c>
      <c r="D435" s="152" t="s">
        <v>62</v>
      </c>
      <c r="E435" s="152" t="s">
        <v>114</v>
      </c>
      <c r="F435" s="149" t="s">
        <v>1193</v>
      </c>
      <c r="G435" s="150" t="s">
        <v>1145</v>
      </c>
      <c r="H435" s="150" t="s">
        <v>65</v>
      </c>
      <c r="I435" s="150" t="s">
        <v>1146</v>
      </c>
      <c r="J435" s="181">
        <v>80111620</v>
      </c>
      <c r="K435" s="150" t="s">
        <v>1147</v>
      </c>
      <c r="L435" s="150" t="s">
        <v>83</v>
      </c>
      <c r="M435" s="150" t="s">
        <v>1194</v>
      </c>
      <c r="N435" s="150" t="s">
        <v>91</v>
      </c>
      <c r="O435" s="150" t="s">
        <v>91</v>
      </c>
      <c r="P435" s="150" t="s">
        <v>91</v>
      </c>
      <c r="Q435" s="150">
        <v>11.5</v>
      </c>
      <c r="R435" s="150" t="s">
        <v>72</v>
      </c>
      <c r="S435" s="150" t="s">
        <v>73</v>
      </c>
      <c r="T435" s="150" t="s">
        <v>74</v>
      </c>
      <c r="U435" s="183">
        <v>12198783</v>
      </c>
      <c r="V435" s="202">
        <v>12198783</v>
      </c>
      <c r="W435" s="150" t="s">
        <v>75</v>
      </c>
      <c r="X435" s="150" t="s">
        <v>67</v>
      </c>
      <c r="Y435" s="150" t="s">
        <v>206</v>
      </c>
      <c r="Z435" s="150" t="s">
        <v>207</v>
      </c>
      <c r="AA435" s="150">
        <v>6012220601</v>
      </c>
      <c r="AB435" s="184" t="s">
        <v>208</v>
      </c>
      <c r="AC435" s="76">
        <v>12198783</v>
      </c>
      <c r="AD435" s="35"/>
      <c r="AE435" s="76"/>
      <c r="AF435" s="35"/>
      <c r="AG435" s="76"/>
      <c r="AH435" s="35"/>
      <c r="AI435" s="35"/>
      <c r="AJ435" s="35"/>
      <c r="AK435" s="35"/>
      <c r="AL435" s="35"/>
      <c r="AM435" s="35"/>
      <c r="AN435" s="35"/>
      <c r="AO435" s="35"/>
      <c r="AP435" s="35">
        <v>8500000</v>
      </c>
      <c r="AQ435" s="35"/>
      <c r="AR435" s="35"/>
      <c r="AS435" s="35"/>
      <c r="AT435" s="35"/>
      <c r="AU435" s="86"/>
      <c r="AV435" s="86"/>
      <c r="AW435" s="86"/>
      <c r="AX435" s="86"/>
      <c r="AY435" s="86"/>
      <c r="AZ435" s="70">
        <v>3698783</v>
      </c>
      <c r="BA435" s="17"/>
      <c r="BB435" s="17"/>
      <c r="BC435" s="18">
        <f t="shared" si="251"/>
        <v>12198783</v>
      </c>
      <c r="BD435" s="18">
        <f t="shared" si="252"/>
        <v>12198783</v>
      </c>
      <c r="BE435" s="19">
        <f t="shared" si="253"/>
        <v>0</v>
      </c>
      <c r="BF435" s="20">
        <f t="shared" si="254"/>
        <v>0</v>
      </c>
      <c r="BG435" s="20">
        <f t="shared" si="255"/>
        <v>0</v>
      </c>
    </row>
    <row r="436" spans="1:59" ht="14.25" customHeight="1">
      <c r="A436" s="150" t="s">
        <v>59</v>
      </c>
      <c r="B436" s="150" t="s">
        <v>1142</v>
      </c>
      <c r="C436" s="152" t="s">
        <v>1143</v>
      </c>
      <c r="D436" s="152" t="s">
        <v>62</v>
      </c>
      <c r="E436" s="152" t="s">
        <v>114</v>
      </c>
      <c r="F436" s="149" t="s">
        <v>1195</v>
      </c>
      <c r="G436" s="150" t="s">
        <v>1145</v>
      </c>
      <c r="H436" s="150" t="s">
        <v>65</v>
      </c>
      <c r="I436" s="150" t="s">
        <v>1146</v>
      </c>
      <c r="J436" s="181">
        <v>80111620</v>
      </c>
      <c r="K436" s="150" t="s">
        <v>1147</v>
      </c>
      <c r="L436" s="150" t="s">
        <v>83</v>
      </c>
      <c r="M436" s="150" t="s">
        <v>1196</v>
      </c>
      <c r="N436" s="150" t="s">
        <v>91</v>
      </c>
      <c r="O436" s="150" t="s">
        <v>91</v>
      </c>
      <c r="P436" s="150" t="s">
        <v>91</v>
      </c>
      <c r="Q436" s="150">
        <v>11.5</v>
      </c>
      <c r="R436" s="150" t="s">
        <v>72</v>
      </c>
      <c r="S436" s="150" t="s">
        <v>73</v>
      </c>
      <c r="T436" s="150" t="s">
        <v>74</v>
      </c>
      <c r="U436" s="183">
        <v>12198783</v>
      </c>
      <c r="V436" s="202">
        <v>12198783</v>
      </c>
      <c r="W436" s="150" t="s">
        <v>75</v>
      </c>
      <c r="X436" s="150" t="s">
        <v>67</v>
      </c>
      <c r="Y436" s="150" t="s">
        <v>206</v>
      </c>
      <c r="Z436" s="150" t="s">
        <v>207</v>
      </c>
      <c r="AA436" s="150">
        <v>6012220601</v>
      </c>
      <c r="AB436" s="184" t="s">
        <v>208</v>
      </c>
      <c r="AC436" s="76">
        <v>12198783</v>
      </c>
      <c r="AD436" s="35"/>
      <c r="AE436" s="76"/>
      <c r="AF436" s="35"/>
      <c r="AG436" s="76"/>
      <c r="AH436" s="35"/>
      <c r="AI436" s="35"/>
      <c r="AJ436" s="35"/>
      <c r="AK436" s="35"/>
      <c r="AL436" s="35"/>
      <c r="AM436" s="35"/>
      <c r="AN436" s="35"/>
      <c r="AO436" s="35"/>
      <c r="AP436" s="35"/>
      <c r="AQ436" s="35"/>
      <c r="AR436" s="35">
        <v>7242848</v>
      </c>
      <c r="AS436" s="35"/>
      <c r="AT436" s="35">
        <v>4955935</v>
      </c>
      <c r="AU436" s="86"/>
      <c r="AV436" s="87"/>
      <c r="AW436" s="86"/>
      <c r="AX436" s="86"/>
      <c r="AY436" s="86"/>
      <c r="AZ436" s="86"/>
      <c r="BA436" s="17"/>
      <c r="BB436" s="17"/>
      <c r="BC436" s="18">
        <f t="shared" si="251"/>
        <v>12198783</v>
      </c>
      <c r="BD436" s="18">
        <f t="shared" si="252"/>
        <v>12198783</v>
      </c>
      <c r="BE436" s="19">
        <f t="shared" si="253"/>
        <v>0</v>
      </c>
      <c r="BF436" s="20">
        <f t="shared" si="254"/>
        <v>0</v>
      </c>
      <c r="BG436" s="20">
        <f t="shared" si="255"/>
        <v>0</v>
      </c>
    </row>
    <row r="437" spans="1:59" ht="14.25" customHeight="1">
      <c r="A437" s="149" t="s">
        <v>59</v>
      </c>
      <c r="B437" s="149" t="s">
        <v>1142</v>
      </c>
      <c r="C437" s="151" t="s">
        <v>1143</v>
      </c>
      <c r="D437" s="166" t="s">
        <v>62</v>
      </c>
      <c r="E437" s="166">
        <v>42</v>
      </c>
      <c r="F437" s="149" t="s">
        <v>1197</v>
      </c>
      <c r="G437" s="149" t="s">
        <v>1145</v>
      </c>
      <c r="H437" s="149" t="s">
        <v>65</v>
      </c>
      <c r="I437" s="149" t="s">
        <v>1146</v>
      </c>
      <c r="J437" s="173">
        <v>80111620</v>
      </c>
      <c r="K437" s="149" t="s">
        <v>1147</v>
      </c>
      <c r="L437" s="149" t="s">
        <v>83</v>
      </c>
      <c r="M437" s="149" t="s">
        <v>1198</v>
      </c>
      <c r="N437" s="149" t="s">
        <v>99</v>
      </c>
      <c r="O437" s="149" t="s">
        <v>99</v>
      </c>
      <c r="P437" s="200" t="s">
        <v>99</v>
      </c>
      <c r="Q437" s="149">
        <v>6</v>
      </c>
      <c r="R437" s="149" t="s">
        <v>72</v>
      </c>
      <c r="S437" s="149" t="s">
        <v>222</v>
      </c>
      <c r="T437" s="149" t="s">
        <v>74</v>
      </c>
      <c r="U437" s="175">
        <v>68000000</v>
      </c>
      <c r="V437" s="175">
        <v>68000000</v>
      </c>
      <c r="W437" s="149" t="s">
        <v>75</v>
      </c>
      <c r="X437" s="149" t="s">
        <v>67</v>
      </c>
      <c r="Y437" s="149" t="s">
        <v>1149</v>
      </c>
      <c r="Z437" s="149" t="s">
        <v>1150</v>
      </c>
      <c r="AA437" s="149">
        <v>6012220601</v>
      </c>
      <c r="AB437" s="172" t="s">
        <v>1151</v>
      </c>
      <c r="AC437" s="76"/>
      <c r="AD437" s="35"/>
      <c r="AE437" s="76"/>
      <c r="AF437" s="35"/>
      <c r="AG437" s="76"/>
      <c r="AH437" s="35"/>
      <c r="AI437" s="35">
        <v>48000000</v>
      </c>
      <c r="AJ437" s="35"/>
      <c r="AK437" s="35"/>
      <c r="AL437" s="35">
        <v>4000000</v>
      </c>
      <c r="AM437" s="35"/>
      <c r="AN437" s="35">
        <v>8000000</v>
      </c>
      <c r="AO437" s="35"/>
      <c r="AP437" s="35">
        <v>8000000</v>
      </c>
      <c r="AQ437" s="35"/>
      <c r="AR437" s="35">
        <v>8000000</v>
      </c>
      <c r="AS437" s="35"/>
      <c r="AT437" s="35">
        <v>8000000</v>
      </c>
      <c r="AU437" s="27">
        <v>20000000</v>
      </c>
      <c r="AV437" s="82">
        <v>8000000</v>
      </c>
      <c r="AW437" s="80"/>
      <c r="AX437" s="82">
        <v>8000000</v>
      </c>
      <c r="AY437" s="80"/>
      <c r="AZ437" s="23">
        <v>16000000</v>
      </c>
      <c r="BA437" s="17"/>
      <c r="BB437" s="17"/>
      <c r="BC437" s="18">
        <f t="shared" si="251"/>
        <v>68000000</v>
      </c>
      <c r="BD437" s="18">
        <f t="shared" si="252"/>
        <v>68000000</v>
      </c>
      <c r="BE437" s="19">
        <f t="shared" si="253"/>
        <v>0</v>
      </c>
      <c r="BF437" s="20">
        <f t="shared" si="254"/>
        <v>0</v>
      </c>
      <c r="BG437" s="20">
        <f t="shared" si="255"/>
        <v>0</v>
      </c>
    </row>
    <row r="438" spans="1:59" ht="14.25" customHeight="1">
      <c r="A438" s="147" t="s">
        <v>59</v>
      </c>
      <c r="B438" s="147" t="s">
        <v>1142</v>
      </c>
      <c r="C438" s="151" t="s">
        <v>1143</v>
      </c>
      <c r="D438" s="151" t="s">
        <v>62</v>
      </c>
      <c r="E438" s="151">
        <v>31</v>
      </c>
      <c r="F438" s="149" t="s">
        <v>1199</v>
      </c>
      <c r="G438" s="147" t="s">
        <v>1145</v>
      </c>
      <c r="H438" s="147" t="s">
        <v>65</v>
      </c>
      <c r="I438" s="147" t="s">
        <v>1146</v>
      </c>
      <c r="J438" s="164">
        <v>80111620</v>
      </c>
      <c r="K438" s="147" t="s">
        <v>1147</v>
      </c>
      <c r="L438" s="147" t="s">
        <v>83</v>
      </c>
      <c r="M438" s="147" t="s">
        <v>1200</v>
      </c>
      <c r="N438" s="147" t="s">
        <v>85</v>
      </c>
      <c r="O438" s="147" t="s">
        <v>85</v>
      </c>
      <c r="P438" s="200" t="s">
        <v>85</v>
      </c>
      <c r="Q438" s="147">
        <v>8</v>
      </c>
      <c r="R438" s="147" t="s">
        <v>72</v>
      </c>
      <c r="S438" s="147" t="s">
        <v>222</v>
      </c>
      <c r="T438" s="147" t="s">
        <v>74</v>
      </c>
      <c r="U438" s="148">
        <v>9600000</v>
      </c>
      <c r="V438" s="148">
        <v>9600000</v>
      </c>
      <c r="W438" s="147" t="s">
        <v>75</v>
      </c>
      <c r="X438" s="147" t="s">
        <v>67</v>
      </c>
      <c r="Y438" s="147" t="s">
        <v>1149</v>
      </c>
      <c r="Z438" s="147" t="s">
        <v>1150</v>
      </c>
      <c r="AA438" s="147">
        <v>6012220601</v>
      </c>
      <c r="AB438" s="160" t="s">
        <v>1151</v>
      </c>
      <c r="AC438" s="62"/>
      <c r="AD438" s="14"/>
      <c r="AE438" s="62">
        <v>48000000</v>
      </c>
      <c r="AF438" s="14"/>
      <c r="AG438" s="62"/>
      <c r="AH438" s="14">
        <v>3600000</v>
      </c>
      <c r="AI438" s="14"/>
      <c r="AJ438" s="14">
        <v>6000000</v>
      </c>
      <c r="AK438" s="14"/>
      <c r="AL438" s="14"/>
      <c r="AM438" s="14">
        <v>-38400000</v>
      </c>
      <c r="AN438" s="14"/>
      <c r="AO438" s="14"/>
      <c r="AP438" s="14"/>
      <c r="AQ438" s="14"/>
      <c r="AR438" s="14"/>
      <c r="AS438" s="14"/>
      <c r="AT438" s="14"/>
      <c r="AU438" s="78"/>
      <c r="AV438" s="79"/>
      <c r="AW438" s="78"/>
      <c r="AX438" s="79"/>
      <c r="AY438" s="78"/>
      <c r="AZ438" s="31"/>
      <c r="BA438" s="17"/>
      <c r="BB438" s="17"/>
      <c r="BC438" s="18">
        <f t="shared" si="251"/>
        <v>9600000</v>
      </c>
      <c r="BD438" s="18">
        <f t="shared" si="252"/>
        <v>9600000</v>
      </c>
      <c r="BE438" s="19">
        <f t="shared" si="253"/>
        <v>0</v>
      </c>
      <c r="BF438" s="20">
        <f t="shared" si="254"/>
        <v>0</v>
      </c>
      <c r="BG438" s="20">
        <f t="shared" si="255"/>
        <v>0</v>
      </c>
    </row>
    <row r="439" spans="1:59" ht="14.25" customHeight="1">
      <c r="A439" s="147" t="s">
        <v>59</v>
      </c>
      <c r="B439" s="147" t="s">
        <v>1142</v>
      </c>
      <c r="C439" s="151" t="s">
        <v>1143</v>
      </c>
      <c r="D439" s="151" t="s">
        <v>62</v>
      </c>
      <c r="E439" s="151" t="s">
        <v>114</v>
      </c>
      <c r="F439" s="149" t="s">
        <v>1201</v>
      </c>
      <c r="G439" s="147" t="s">
        <v>1145</v>
      </c>
      <c r="H439" s="147" t="s">
        <v>65</v>
      </c>
      <c r="I439" s="147" t="s">
        <v>1146</v>
      </c>
      <c r="J439" s="164">
        <v>80111620</v>
      </c>
      <c r="K439" s="147" t="s">
        <v>1147</v>
      </c>
      <c r="L439" s="147" t="s">
        <v>83</v>
      </c>
      <c r="M439" s="147" t="s">
        <v>1202</v>
      </c>
      <c r="N439" s="147" t="s">
        <v>85</v>
      </c>
      <c r="O439" s="147" t="s">
        <v>86</v>
      </c>
      <c r="P439" s="200" t="s">
        <v>86</v>
      </c>
      <c r="Q439" s="147">
        <v>9</v>
      </c>
      <c r="R439" s="147" t="s">
        <v>72</v>
      </c>
      <c r="S439" s="147" t="s">
        <v>73</v>
      </c>
      <c r="T439" s="147" t="s">
        <v>74</v>
      </c>
      <c r="U439" s="148">
        <v>66513333</v>
      </c>
      <c r="V439" s="177">
        <v>66513333</v>
      </c>
      <c r="W439" s="147" t="s">
        <v>75</v>
      </c>
      <c r="X439" s="147" t="s">
        <v>67</v>
      </c>
      <c r="Y439" s="147" t="s">
        <v>1149</v>
      </c>
      <c r="Z439" s="147" t="s">
        <v>1150</v>
      </c>
      <c r="AA439" s="147">
        <v>6012220601</v>
      </c>
      <c r="AB439" s="160" t="s">
        <v>1151</v>
      </c>
      <c r="AC439" s="62"/>
      <c r="AD439" s="14"/>
      <c r="AE439" s="62"/>
      <c r="AF439" s="14"/>
      <c r="AG439" s="62">
        <v>66513333</v>
      </c>
      <c r="AH439" s="14"/>
      <c r="AI439" s="14"/>
      <c r="AJ439" s="14">
        <v>4830000</v>
      </c>
      <c r="AK439" s="14"/>
      <c r="AL439" s="14">
        <v>6900000</v>
      </c>
      <c r="AM439" s="14"/>
      <c r="AN439" s="14">
        <f>6900000+620675</f>
        <v>7520675</v>
      </c>
      <c r="AO439" s="14"/>
      <c r="AP439" s="14">
        <v>6900000</v>
      </c>
      <c r="AQ439" s="14"/>
      <c r="AR439" s="14">
        <v>6900000</v>
      </c>
      <c r="AS439" s="14"/>
      <c r="AT439" s="14">
        <v>6900000</v>
      </c>
      <c r="AU439" s="78"/>
      <c r="AV439" s="79">
        <v>7300000</v>
      </c>
      <c r="AW439" s="78"/>
      <c r="AX439" s="31">
        <v>6900000</v>
      </c>
      <c r="AY439" s="78"/>
      <c r="AZ439" s="31">
        <v>12362658</v>
      </c>
      <c r="BA439" s="17"/>
      <c r="BB439" s="17"/>
      <c r="BC439" s="18">
        <f t="shared" si="251"/>
        <v>66513333</v>
      </c>
      <c r="BD439" s="18">
        <f t="shared" si="252"/>
        <v>66513333</v>
      </c>
      <c r="BE439" s="19">
        <f t="shared" si="253"/>
        <v>0</v>
      </c>
      <c r="BF439" s="20">
        <f t="shared" si="254"/>
        <v>0</v>
      </c>
      <c r="BG439" s="20">
        <f t="shared" si="255"/>
        <v>0</v>
      </c>
    </row>
    <row r="440" spans="1:59" ht="14.25" customHeight="1">
      <c r="A440" s="147" t="s">
        <v>59</v>
      </c>
      <c r="B440" s="147" t="s">
        <v>1142</v>
      </c>
      <c r="C440" s="151" t="s">
        <v>1143</v>
      </c>
      <c r="D440" s="151" t="s">
        <v>62</v>
      </c>
      <c r="E440" s="151">
        <v>13</v>
      </c>
      <c r="F440" s="149" t="s">
        <v>1203</v>
      </c>
      <c r="G440" s="147" t="s">
        <v>1145</v>
      </c>
      <c r="H440" s="147" t="s">
        <v>65</v>
      </c>
      <c r="I440" s="147" t="s">
        <v>1146</v>
      </c>
      <c r="J440" s="164">
        <v>80111620</v>
      </c>
      <c r="K440" s="147" t="s">
        <v>1147</v>
      </c>
      <c r="L440" s="147" t="s">
        <v>83</v>
      </c>
      <c r="M440" s="147" t="s">
        <v>1204</v>
      </c>
      <c r="N440" s="147" t="s">
        <v>86</v>
      </c>
      <c r="O440" s="147" t="s">
        <v>86</v>
      </c>
      <c r="P440" s="200" t="s">
        <v>99</v>
      </c>
      <c r="Q440" s="147">
        <v>7</v>
      </c>
      <c r="R440" s="147" t="s">
        <v>72</v>
      </c>
      <c r="S440" s="147" t="s">
        <v>73</v>
      </c>
      <c r="T440" s="147" t="s">
        <v>74</v>
      </c>
      <c r="U440" s="175">
        <v>37579900</v>
      </c>
      <c r="V440" s="175">
        <v>37579900</v>
      </c>
      <c r="W440" s="147" t="s">
        <v>75</v>
      </c>
      <c r="X440" s="147" t="s">
        <v>67</v>
      </c>
      <c r="Y440" s="147" t="s">
        <v>1149</v>
      </c>
      <c r="Z440" s="147" t="s">
        <v>1150</v>
      </c>
      <c r="AA440" s="147">
        <v>6012220601</v>
      </c>
      <c r="AB440" s="160" t="s">
        <v>1151</v>
      </c>
      <c r="AC440" s="62"/>
      <c r="AD440" s="14"/>
      <c r="AE440" s="62"/>
      <c r="AF440" s="14"/>
      <c r="AG440" s="62"/>
      <c r="AH440" s="14"/>
      <c r="AI440" s="14">
        <v>37579900</v>
      </c>
      <c r="AJ440" s="14"/>
      <c r="AK440" s="14"/>
      <c r="AL440" s="14">
        <v>3333333</v>
      </c>
      <c r="AM440" s="14"/>
      <c r="AN440" s="14">
        <v>5000000</v>
      </c>
      <c r="AO440" s="14"/>
      <c r="AP440" s="14">
        <v>5000000</v>
      </c>
      <c r="AQ440" s="14"/>
      <c r="AR440" s="14">
        <v>5000000</v>
      </c>
      <c r="AS440" s="14"/>
      <c r="AT440" s="14">
        <v>5000000</v>
      </c>
      <c r="AU440" s="79"/>
      <c r="AV440" s="79">
        <v>5000000</v>
      </c>
      <c r="AW440" s="79"/>
      <c r="AX440" s="31">
        <v>5000000</v>
      </c>
      <c r="AY440" s="79"/>
      <c r="AZ440" s="31">
        <v>4246567</v>
      </c>
      <c r="BA440" s="17"/>
      <c r="BB440" s="17"/>
      <c r="BC440" s="18">
        <f t="shared" si="251"/>
        <v>37579900</v>
      </c>
      <c r="BD440" s="18">
        <f t="shared" si="252"/>
        <v>37579900</v>
      </c>
      <c r="BE440" s="19">
        <f t="shared" si="253"/>
        <v>0</v>
      </c>
      <c r="BF440" s="20">
        <f t="shared" si="254"/>
        <v>0</v>
      </c>
      <c r="BG440" s="20">
        <f t="shared" si="255"/>
        <v>0</v>
      </c>
    </row>
    <row r="441" spans="1:59" ht="14.25" customHeight="1">
      <c r="A441" s="147" t="s">
        <v>59</v>
      </c>
      <c r="B441" s="147" t="s">
        <v>1142</v>
      </c>
      <c r="C441" s="151" t="s">
        <v>1143</v>
      </c>
      <c r="D441" s="151" t="s">
        <v>62</v>
      </c>
      <c r="E441" s="151">
        <v>46</v>
      </c>
      <c r="F441" s="149" t="s">
        <v>1205</v>
      </c>
      <c r="G441" s="147" t="s">
        <v>1145</v>
      </c>
      <c r="H441" s="147" t="s">
        <v>65</v>
      </c>
      <c r="I441" s="147" t="s">
        <v>1146</v>
      </c>
      <c r="J441" s="164">
        <v>80111620</v>
      </c>
      <c r="K441" s="147" t="s">
        <v>1147</v>
      </c>
      <c r="L441" s="147" t="s">
        <v>83</v>
      </c>
      <c r="M441" s="147" t="s">
        <v>1206</v>
      </c>
      <c r="N441" s="147" t="s">
        <v>100</v>
      </c>
      <c r="O441" s="147" t="s">
        <v>100</v>
      </c>
      <c r="P441" s="200" t="s">
        <v>142</v>
      </c>
      <c r="Q441" s="147">
        <v>5.5</v>
      </c>
      <c r="R441" s="147" t="s">
        <v>72</v>
      </c>
      <c r="S441" s="147" t="s">
        <v>73</v>
      </c>
      <c r="T441" s="147" t="s">
        <v>74</v>
      </c>
      <c r="U441" s="148">
        <v>21841050</v>
      </c>
      <c r="V441" s="148">
        <v>21841050</v>
      </c>
      <c r="W441" s="147" t="s">
        <v>75</v>
      </c>
      <c r="X441" s="147" t="s">
        <v>67</v>
      </c>
      <c r="Y441" s="147" t="s">
        <v>1149</v>
      </c>
      <c r="Z441" s="147" t="s">
        <v>1150</v>
      </c>
      <c r="AA441" s="147">
        <v>6012220601</v>
      </c>
      <c r="AB441" s="160" t="s">
        <v>1151</v>
      </c>
      <c r="AC441" s="62"/>
      <c r="AD441" s="14"/>
      <c r="AE441" s="62"/>
      <c r="AF441" s="14"/>
      <c r="AG441" s="62"/>
      <c r="AH441" s="14"/>
      <c r="AI441" s="14"/>
      <c r="AJ441" s="14"/>
      <c r="AK441" s="14"/>
      <c r="AL441" s="14"/>
      <c r="AM441" s="14"/>
      <c r="AN441" s="14"/>
      <c r="AO441" s="14"/>
      <c r="AP441" s="14"/>
      <c r="AQ441" s="14"/>
      <c r="AR441" s="14"/>
      <c r="AS441" s="14">
        <v>21841050</v>
      </c>
      <c r="AT441" s="14"/>
      <c r="AU441" s="79"/>
      <c r="AV441" s="79">
        <v>4227300</v>
      </c>
      <c r="AW441" s="79"/>
      <c r="AX441" s="31">
        <v>4227300</v>
      </c>
      <c r="AY441" s="79"/>
      <c r="AZ441" s="79">
        <v>8454600</v>
      </c>
      <c r="BA441" s="17"/>
      <c r="BB441" s="33">
        <v>4931850</v>
      </c>
      <c r="BC441" s="18">
        <f t="shared" si="251"/>
        <v>21841050</v>
      </c>
      <c r="BD441" s="18">
        <f t="shared" si="252"/>
        <v>21841050</v>
      </c>
      <c r="BE441" s="19">
        <f t="shared" si="253"/>
        <v>0</v>
      </c>
      <c r="BF441" s="20">
        <f t="shared" si="254"/>
        <v>0</v>
      </c>
      <c r="BG441" s="20">
        <f t="shared" si="255"/>
        <v>0</v>
      </c>
    </row>
    <row r="442" spans="1:59" ht="14.25" customHeight="1">
      <c r="A442" s="147" t="s">
        <v>59</v>
      </c>
      <c r="B442" s="147" t="s">
        <v>1142</v>
      </c>
      <c r="C442" s="151" t="s">
        <v>1143</v>
      </c>
      <c r="D442" s="151" t="s">
        <v>62</v>
      </c>
      <c r="E442" s="151">
        <v>8</v>
      </c>
      <c r="F442" s="149" t="s">
        <v>1207</v>
      </c>
      <c r="G442" s="147" t="s">
        <v>1145</v>
      </c>
      <c r="H442" s="147" t="s">
        <v>65</v>
      </c>
      <c r="I442" s="147" t="s">
        <v>1146</v>
      </c>
      <c r="J442" s="164">
        <v>80111620</v>
      </c>
      <c r="K442" s="147" t="s">
        <v>1147</v>
      </c>
      <c r="L442" s="147" t="s">
        <v>83</v>
      </c>
      <c r="M442" s="147" t="s">
        <v>1208</v>
      </c>
      <c r="N442" s="147" t="s">
        <v>86</v>
      </c>
      <c r="O442" s="147" t="s">
        <v>86</v>
      </c>
      <c r="P442" s="200" t="s">
        <v>86</v>
      </c>
      <c r="Q442" s="147">
        <v>8</v>
      </c>
      <c r="R442" s="147" t="s">
        <v>72</v>
      </c>
      <c r="S442" s="147" t="s">
        <v>73</v>
      </c>
      <c r="T442" s="147" t="s">
        <v>74</v>
      </c>
      <c r="U442" s="148">
        <v>25600000</v>
      </c>
      <c r="V442" s="148">
        <v>25600000</v>
      </c>
      <c r="W442" s="147" t="s">
        <v>75</v>
      </c>
      <c r="X442" s="147" t="s">
        <v>67</v>
      </c>
      <c r="Y442" s="147" t="s">
        <v>1149</v>
      </c>
      <c r="Z442" s="147" t="s">
        <v>1150</v>
      </c>
      <c r="AA442" s="147">
        <v>6012220601</v>
      </c>
      <c r="AB442" s="160" t="s">
        <v>1151</v>
      </c>
      <c r="AC442" s="62"/>
      <c r="AD442" s="14"/>
      <c r="AE442" s="62"/>
      <c r="AF442" s="14"/>
      <c r="AG442" s="62">
        <v>25600000</v>
      </c>
      <c r="AH442" s="14"/>
      <c r="AI442" s="14"/>
      <c r="AJ442" s="14">
        <v>2133333</v>
      </c>
      <c r="AK442" s="14"/>
      <c r="AL442" s="14">
        <v>3200000</v>
      </c>
      <c r="AM442" s="14"/>
      <c r="AN442" s="14">
        <v>3200000</v>
      </c>
      <c r="AO442" s="14"/>
      <c r="AP442" s="14">
        <v>3200000</v>
      </c>
      <c r="AQ442" s="14"/>
      <c r="AR442" s="14">
        <v>3200000</v>
      </c>
      <c r="AS442" s="14"/>
      <c r="AT442" s="14">
        <v>3200000</v>
      </c>
      <c r="AU442" s="79"/>
      <c r="AV442" s="79">
        <v>3200000</v>
      </c>
      <c r="AW442" s="79"/>
      <c r="AX442" s="79">
        <v>3200000</v>
      </c>
      <c r="AY442" s="79"/>
      <c r="AZ442" s="31">
        <v>1066667</v>
      </c>
      <c r="BA442" s="17"/>
      <c r="BB442" s="17"/>
      <c r="BC442" s="18">
        <f t="shared" si="251"/>
        <v>25600000</v>
      </c>
      <c r="BD442" s="18">
        <f t="shared" si="252"/>
        <v>25600000</v>
      </c>
      <c r="BE442" s="19">
        <f t="shared" si="253"/>
        <v>0</v>
      </c>
      <c r="BF442" s="20">
        <f t="shared" si="254"/>
        <v>0</v>
      </c>
      <c r="BG442" s="20">
        <f t="shared" si="255"/>
        <v>0</v>
      </c>
    </row>
    <row r="443" spans="1:59" ht="14.25" customHeight="1">
      <c r="A443" s="147" t="s">
        <v>59</v>
      </c>
      <c r="B443" s="147" t="s">
        <v>1142</v>
      </c>
      <c r="C443" s="151" t="s">
        <v>1143</v>
      </c>
      <c r="D443" s="151" t="s">
        <v>62</v>
      </c>
      <c r="E443" s="151">
        <v>2</v>
      </c>
      <c r="F443" s="149" t="s">
        <v>1209</v>
      </c>
      <c r="G443" s="147" t="s">
        <v>1145</v>
      </c>
      <c r="H443" s="147" t="s">
        <v>65</v>
      </c>
      <c r="I443" s="147" t="s">
        <v>1146</v>
      </c>
      <c r="J443" s="164">
        <v>80111620</v>
      </c>
      <c r="K443" s="147" t="s">
        <v>1147</v>
      </c>
      <c r="L443" s="147" t="s">
        <v>83</v>
      </c>
      <c r="M443" s="147" t="s">
        <v>1210</v>
      </c>
      <c r="N443" s="147" t="s">
        <v>85</v>
      </c>
      <c r="O443" s="147" t="s">
        <v>85</v>
      </c>
      <c r="P443" s="200" t="s">
        <v>85</v>
      </c>
      <c r="Q443" s="147">
        <v>10.7</v>
      </c>
      <c r="R443" s="147" t="s">
        <v>72</v>
      </c>
      <c r="S443" s="147" t="s">
        <v>73</v>
      </c>
      <c r="T443" s="147" t="s">
        <v>74</v>
      </c>
      <c r="U443" s="148">
        <v>85600000</v>
      </c>
      <c r="V443" s="148">
        <v>85600000</v>
      </c>
      <c r="W443" s="147" t="s">
        <v>75</v>
      </c>
      <c r="X443" s="147" t="s">
        <v>67</v>
      </c>
      <c r="Y443" s="147" t="s">
        <v>1149</v>
      </c>
      <c r="Z443" s="147" t="s">
        <v>1150</v>
      </c>
      <c r="AA443" s="147">
        <v>6012220601</v>
      </c>
      <c r="AB443" s="160" t="s">
        <v>1151</v>
      </c>
      <c r="AC443" s="62"/>
      <c r="AD443" s="14"/>
      <c r="AE443" s="62">
        <v>85600000</v>
      </c>
      <c r="AF443" s="14"/>
      <c r="AG443" s="62"/>
      <c r="AH443" s="14">
        <v>4419600</v>
      </c>
      <c r="AI443" s="14"/>
      <c r="AJ443" s="14">
        <f>7366000+ 535675</f>
        <v>7901675</v>
      </c>
      <c r="AK443" s="14"/>
      <c r="AL443" s="14">
        <v>7366000</v>
      </c>
      <c r="AM443" s="14"/>
      <c r="AN443" s="14">
        <f>7366000+ 620675</f>
        <v>7986675</v>
      </c>
      <c r="AO443" s="14"/>
      <c r="AP443" s="14">
        <v>7366000</v>
      </c>
      <c r="AQ443" s="14"/>
      <c r="AR443" s="14">
        <v>7366000</v>
      </c>
      <c r="AS443" s="14"/>
      <c r="AT443" s="14">
        <v>7366000</v>
      </c>
      <c r="AU443" s="31"/>
      <c r="AV443" s="31">
        <v>8213975</v>
      </c>
      <c r="AW443" s="31"/>
      <c r="AX443" s="31">
        <v>8213975</v>
      </c>
      <c r="AY443" s="31"/>
      <c r="AZ443" s="31">
        <v>16427950</v>
      </c>
      <c r="BA443" s="17"/>
      <c r="BB443" s="33">
        <v>2972150</v>
      </c>
      <c r="BC443" s="18">
        <f t="shared" si="251"/>
        <v>85600000</v>
      </c>
      <c r="BD443" s="18">
        <f t="shared" si="252"/>
        <v>85600000</v>
      </c>
      <c r="BE443" s="19">
        <f t="shared" si="253"/>
        <v>0</v>
      </c>
      <c r="BF443" s="20">
        <f t="shared" si="254"/>
        <v>0</v>
      </c>
      <c r="BG443" s="20">
        <f t="shared" si="255"/>
        <v>0</v>
      </c>
    </row>
    <row r="444" spans="1:59" ht="14.25" customHeight="1">
      <c r="A444" s="147" t="s">
        <v>59</v>
      </c>
      <c r="B444" s="147" t="s">
        <v>1142</v>
      </c>
      <c r="C444" s="151" t="s">
        <v>1143</v>
      </c>
      <c r="D444" s="151" t="s">
        <v>62</v>
      </c>
      <c r="E444" s="151">
        <v>46</v>
      </c>
      <c r="F444" s="149" t="s">
        <v>1211</v>
      </c>
      <c r="G444" s="147" t="s">
        <v>1145</v>
      </c>
      <c r="H444" s="147" t="s">
        <v>65</v>
      </c>
      <c r="I444" s="147" t="s">
        <v>1146</v>
      </c>
      <c r="J444" s="164">
        <v>80111620</v>
      </c>
      <c r="K444" s="147" t="s">
        <v>1147</v>
      </c>
      <c r="L444" s="147" t="s">
        <v>83</v>
      </c>
      <c r="M444" s="147" t="s">
        <v>1212</v>
      </c>
      <c r="N444" s="147" t="s">
        <v>100</v>
      </c>
      <c r="O444" s="147" t="s">
        <v>100</v>
      </c>
      <c r="P444" s="200" t="s">
        <v>142</v>
      </c>
      <c r="Q444" s="147">
        <v>5.5</v>
      </c>
      <c r="R444" s="147" t="s">
        <v>72</v>
      </c>
      <c r="S444" s="147" t="s">
        <v>73</v>
      </c>
      <c r="T444" s="147" t="s">
        <v>74</v>
      </c>
      <c r="U444" s="148">
        <v>35966667</v>
      </c>
      <c r="V444" s="148">
        <v>35966667</v>
      </c>
      <c r="W444" s="147" t="s">
        <v>75</v>
      </c>
      <c r="X444" s="147" t="s">
        <v>67</v>
      </c>
      <c r="Y444" s="147" t="s">
        <v>1149</v>
      </c>
      <c r="Z444" s="147" t="s">
        <v>1150</v>
      </c>
      <c r="AA444" s="147">
        <v>6012220601</v>
      </c>
      <c r="AB444" s="160" t="s">
        <v>1151</v>
      </c>
      <c r="AC444" s="62"/>
      <c r="AD444" s="14"/>
      <c r="AE444" s="62"/>
      <c r="AF444" s="14"/>
      <c r="AG444" s="62"/>
      <c r="AH444" s="14"/>
      <c r="AI444" s="14"/>
      <c r="AJ444" s="14"/>
      <c r="AK444" s="14"/>
      <c r="AL444" s="14"/>
      <c r="AM444" s="14"/>
      <c r="AN444" s="14"/>
      <c r="AO444" s="14"/>
      <c r="AP444" s="14"/>
      <c r="AQ444" s="14"/>
      <c r="AR444" s="14"/>
      <c r="AS444" s="14"/>
      <c r="AT444" s="14"/>
      <c r="AU444" s="31">
        <v>17333333</v>
      </c>
      <c r="AV444" s="31"/>
      <c r="AW444" s="31"/>
      <c r="AX444" s="31">
        <v>4333333</v>
      </c>
      <c r="AY444" s="31"/>
      <c r="AZ444" s="31">
        <v>13000000</v>
      </c>
      <c r="BA444" s="33">
        <v>18633334</v>
      </c>
      <c r="BB444" s="33">
        <v>18633334</v>
      </c>
      <c r="BC444" s="18">
        <f t="shared" si="251"/>
        <v>35966667</v>
      </c>
      <c r="BD444" s="18">
        <f t="shared" si="252"/>
        <v>35966667</v>
      </c>
      <c r="BE444" s="19">
        <f t="shared" si="253"/>
        <v>0</v>
      </c>
      <c r="BF444" s="20">
        <f t="shared" si="254"/>
        <v>0</v>
      </c>
      <c r="BG444" s="20">
        <f t="shared" si="255"/>
        <v>0</v>
      </c>
    </row>
    <row r="445" spans="1:59" ht="14.25" customHeight="1">
      <c r="A445" s="147" t="s">
        <v>59</v>
      </c>
      <c r="B445" s="147" t="s">
        <v>1142</v>
      </c>
      <c r="C445" s="151" t="s">
        <v>1143</v>
      </c>
      <c r="D445" s="151" t="s">
        <v>62</v>
      </c>
      <c r="E445" s="201" t="s">
        <v>1154</v>
      </c>
      <c r="F445" s="149" t="s">
        <v>1213</v>
      </c>
      <c r="G445" s="147" t="s">
        <v>1145</v>
      </c>
      <c r="H445" s="147" t="s">
        <v>65</v>
      </c>
      <c r="I445" s="147" t="s">
        <v>1214</v>
      </c>
      <c r="J445" s="164">
        <v>80111620</v>
      </c>
      <c r="K445" s="147" t="s">
        <v>1147</v>
      </c>
      <c r="L445" s="147" t="s">
        <v>83</v>
      </c>
      <c r="M445" s="147" t="s">
        <v>1215</v>
      </c>
      <c r="N445" s="147" t="s">
        <v>91</v>
      </c>
      <c r="O445" s="147" t="s">
        <v>91</v>
      </c>
      <c r="P445" s="200" t="s">
        <v>91</v>
      </c>
      <c r="Q445" s="203">
        <v>45423</v>
      </c>
      <c r="R445" s="147" t="s">
        <v>72</v>
      </c>
      <c r="S445" s="147" t="s">
        <v>73</v>
      </c>
      <c r="T445" s="147" t="s">
        <v>74</v>
      </c>
      <c r="U445" s="148">
        <v>94000000</v>
      </c>
      <c r="V445" s="148">
        <v>94000000</v>
      </c>
      <c r="W445" s="147" t="s">
        <v>75</v>
      </c>
      <c r="X445" s="147" t="s">
        <v>67</v>
      </c>
      <c r="Y445" s="147" t="s">
        <v>1149</v>
      </c>
      <c r="Z445" s="147" t="s">
        <v>1150</v>
      </c>
      <c r="AA445" s="147">
        <v>6012220601</v>
      </c>
      <c r="AB445" s="160" t="s">
        <v>1151</v>
      </c>
      <c r="AC445" s="62">
        <v>94000000</v>
      </c>
      <c r="AD445" s="14"/>
      <c r="AE445" s="62"/>
      <c r="AF445" s="14">
        <v>5600000</v>
      </c>
      <c r="AG445" s="62"/>
      <c r="AH445" s="14">
        <v>8000000</v>
      </c>
      <c r="AI445" s="14"/>
      <c r="AJ445" s="14">
        <v>8000000</v>
      </c>
      <c r="AK445" s="14"/>
      <c r="AL445" s="14">
        <v>8000000</v>
      </c>
      <c r="AM445" s="14"/>
      <c r="AN445" s="14">
        <v>8000000</v>
      </c>
      <c r="AO445" s="14"/>
      <c r="AP445" s="14">
        <v>8000000</v>
      </c>
      <c r="AQ445" s="14"/>
      <c r="AR445" s="14">
        <v>8000000</v>
      </c>
      <c r="AS445" s="14"/>
      <c r="AT445" s="14">
        <v>8000000</v>
      </c>
      <c r="AU445" s="31"/>
      <c r="AV445" s="31">
        <v>8000000</v>
      </c>
      <c r="AW445" s="31"/>
      <c r="AX445" s="31">
        <v>8000000</v>
      </c>
      <c r="AY445" s="31"/>
      <c r="AZ445" s="31">
        <v>16000000</v>
      </c>
      <c r="BA445" s="17"/>
      <c r="BB445" s="33">
        <v>400000</v>
      </c>
      <c r="BC445" s="18">
        <f t="shared" si="251"/>
        <v>94000000</v>
      </c>
      <c r="BD445" s="18">
        <f t="shared" si="252"/>
        <v>94000000</v>
      </c>
      <c r="BE445" s="19">
        <f t="shared" si="253"/>
        <v>0</v>
      </c>
      <c r="BF445" s="20">
        <f t="shared" si="254"/>
        <v>0</v>
      </c>
      <c r="BG445" s="20">
        <f t="shared" si="255"/>
        <v>0</v>
      </c>
    </row>
    <row r="446" spans="1:59" ht="14.25" customHeight="1">
      <c r="A446" s="147" t="s">
        <v>59</v>
      </c>
      <c r="B446" s="147" t="s">
        <v>1142</v>
      </c>
      <c r="C446" s="151" t="s">
        <v>1143</v>
      </c>
      <c r="D446" s="151" t="s">
        <v>62</v>
      </c>
      <c r="E446" s="151" t="s">
        <v>114</v>
      </c>
      <c r="F446" s="149" t="s">
        <v>1216</v>
      </c>
      <c r="G446" s="147" t="s">
        <v>1145</v>
      </c>
      <c r="H446" s="147" t="s">
        <v>65</v>
      </c>
      <c r="I446" s="147" t="s">
        <v>1214</v>
      </c>
      <c r="J446" s="164">
        <v>80111620</v>
      </c>
      <c r="K446" s="147" t="s">
        <v>1147</v>
      </c>
      <c r="L446" s="147" t="s">
        <v>83</v>
      </c>
      <c r="M446" s="147" t="s">
        <v>1217</v>
      </c>
      <c r="N446" s="147" t="s">
        <v>91</v>
      </c>
      <c r="O446" s="147" t="s">
        <v>91</v>
      </c>
      <c r="P446" s="200" t="s">
        <v>91</v>
      </c>
      <c r="Q446" s="147">
        <v>11.5</v>
      </c>
      <c r="R446" s="147" t="s">
        <v>72</v>
      </c>
      <c r="S446" s="147" t="s">
        <v>73</v>
      </c>
      <c r="T446" s="147" t="s">
        <v>74</v>
      </c>
      <c r="U446" s="148">
        <v>82800000</v>
      </c>
      <c r="V446" s="177">
        <v>82800000</v>
      </c>
      <c r="W446" s="147" t="s">
        <v>75</v>
      </c>
      <c r="X446" s="147" t="s">
        <v>67</v>
      </c>
      <c r="Y446" s="147" t="s">
        <v>1149</v>
      </c>
      <c r="Z446" s="147" t="s">
        <v>1150</v>
      </c>
      <c r="AA446" s="147">
        <v>6012220601</v>
      </c>
      <c r="AB446" s="160" t="s">
        <v>1151</v>
      </c>
      <c r="AC446" s="62">
        <v>82800000</v>
      </c>
      <c r="AD446" s="14"/>
      <c r="AE446" s="62"/>
      <c r="AF446" s="14">
        <v>3600000</v>
      </c>
      <c r="AG446" s="62"/>
      <c r="AH446" s="14">
        <v>7200000</v>
      </c>
      <c r="AI446" s="14"/>
      <c r="AJ446" s="14">
        <v>7200000</v>
      </c>
      <c r="AK446" s="14"/>
      <c r="AL446" s="14">
        <v>7200000</v>
      </c>
      <c r="AM446" s="14"/>
      <c r="AN446" s="14">
        <v>7200000</v>
      </c>
      <c r="AO446" s="14"/>
      <c r="AP446" s="14">
        <v>7200000</v>
      </c>
      <c r="AQ446" s="14"/>
      <c r="AR446" s="14">
        <v>7200000</v>
      </c>
      <c r="AS446" s="14"/>
      <c r="AT446" s="14">
        <v>7200000</v>
      </c>
      <c r="AU446" s="78"/>
      <c r="AV446" s="79">
        <v>7200000</v>
      </c>
      <c r="AW446" s="78"/>
      <c r="AX446" s="79">
        <v>7200000</v>
      </c>
      <c r="AY446" s="78"/>
      <c r="AZ446" s="31">
        <v>14400000</v>
      </c>
      <c r="BA446" s="17"/>
      <c r="BB446" s="17"/>
      <c r="BC446" s="18">
        <f t="shared" si="251"/>
        <v>82800000</v>
      </c>
      <c r="BD446" s="18">
        <f t="shared" si="252"/>
        <v>82800000</v>
      </c>
      <c r="BE446" s="19">
        <f t="shared" si="253"/>
        <v>0</v>
      </c>
      <c r="BF446" s="20">
        <f t="shared" si="254"/>
        <v>0</v>
      </c>
      <c r="BG446" s="20">
        <f t="shared" si="255"/>
        <v>0</v>
      </c>
    </row>
    <row r="447" spans="1:59" ht="14.25" customHeight="1">
      <c r="A447" s="147" t="s">
        <v>59</v>
      </c>
      <c r="B447" s="147" t="s">
        <v>1142</v>
      </c>
      <c r="C447" s="151" t="s">
        <v>1143</v>
      </c>
      <c r="D447" s="151" t="s">
        <v>62</v>
      </c>
      <c r="E447" s="151">
        <v>11</v>
      </c>
      <c r="F447" s="165" t="s">
        <v>1218</v>
      </c>
      <c r="G447" s="147" t="s">
        <v>1145</v>
      </c>
      <c r="H447" s="147" t="s">
        <v>65</v>
      </c>
      <c r="I447" s="147" t="s">
        <v>1214</v>
      </c>
      <c r="J447" s="164">
        <v>80111620</v>
      </c>
      <c r="K447" s="147" t="s">
        <v>1147</v>
      </c>
      <c r="L447" s="147" t="s">
        <v>83</v>
      </c>
      <c r="M447" s="147" t="s">
        <v>1219</v>
      </c>
      <c r="N447" s="147" t="s">
        <v>91</v>
      </c>
      <c r="O447" s="147" t="s">
        <v>91</v>
      </c>
      <c r="P447" s="200" t="s">
        <v>91</v>
      </c>
      <c r="Q447" s="147">
        <v>11.7</v>
      </c>
      <c r="R447" s="147" t="s">
        <v>72</v>
      </c>
      <c r="S447" s="147" t="s">
        <v>73</v>
      </c>
      <c r="T447" s="147" t="s">
        <v>74</v>
      </c>
      <c r="U447" s="189">
        <v>48613950</v>
      </c>
      <c r="V447" s="175">
        <v>48613950</v>
      </c>
      <c r="W447" s="147" t="s">
        <v>75</v>
      </c>
      <c r="X447" s="147" t="s">
        <v>67</v>
      </c>
      <c r="Y447" s="147" t="s">
        <v>1149</v>
      </c>
      <c r="Z447" s="147" t="s">
        <v>1150</v>
      </c>
      <c r="AA447" s="147">
        <v>6012220601</v>
      </c>
      <c r="AB447" s="160" t="s">
        <v>1151</v>
      </c>
      <c r="AC447" s="62">
        <v>48613950</v>
      </c>
      <c r="AD447" s="14"/>
      <c r="AE447" s="62"/>
      <c r="AF447" s="14">
        <v>1972740</v>
      </c>
      <c r="AG447" s="62">
        <v>-140910</v>
      </c>
      <c r="AH447" s="14">
        <v>4227300</v>
      </c>
      <c r="AI447" s="14"/>
      <c r="AJ447" s="14">
        <v>4227300</v>
      </c>
      <c r="AK447" s="14"/>
      <c r="AL447" s="14">
        <v>4227300</v>
      </c>
      <c r="AM447" s="14"/>
      <c r="AN447" s="14">
        <v>4227300</v>
      </c>
      <c r="AO447" s="14"/>
      <c r="AP447" s="14">
        <v>4227300</v>
      </c>
      <c r="AQ447" s="14"/>
      <c r="AR447" s="14">
        <v>4227300</v>
      </c>
      <c r="AS447" s="14"/>
      <c r="AT447" s="14">
        <v>4227300</v>
      </c>
      <c r="AU447" s="88"/>
      <c r="AV447" s="31">
        <v>4227300</v>
      </c>
      <c r="AW447" s="31"/>
      <c r="AX447" s="31">
        <v>4227300</v>
      </c>
      <c r="AY447" s="31"/>
      <c r="AZ447" s="31">
        <v>8595510</v>
      </c>
      <c r="BA447" s="33">
        <v>140910</v>
      </c>
      <c r="BB447" s="17"/>
      <c r="BC447" s="18">
        <f t="shared" si="251"/>
        <v>48613950</v>
      </c>
      <c r="BD447" s="18">
        <f t="shared" si="252"/>
        <v>48613950</v>
      </c>
      <c r="BE447" s="19">
        <f t="shared" si="253"/>
        <v>0</v>
      </c>
      <c r="BF447" s="20">
        <f t="shared" si="254"/>
        <v>0</v>
      </c>
      <c r="BG447" s="20">
        <f t="shared" si="255"/>
        <v>0</v>
      </c>
    </row>
    <row r="448" spans="1:59" ht="14.25" customHeight="1">
      <c r="A448" s="147" t="s">
        <v>59</v>
      </c>
      <c r="B448" s="147" t="s">
        <v>1142</v>
      </c>
      <c r="C448" s="151" t="s">
        <v>1143</v>
      </c>
      <c r="D448" s="151" t="s">
        <v>62</v>
      </c>
      <c r="E448" s="151">
        <v>46</v>
      </c>
      <c r="F448" s="165" t="s">
        <v>1220</v>
      </c>
      <c r="G448" s="147" t="s">
        <v>1145</v>
      </c>
      <c r="H448" s="147" t="s">
        <v>65</v>
      </c>
      <c r="I448" s="165" t="s">
        <v>1214</v>
      </c>
      <c r="J448" s="164">
        <v>80111620</v>
      </c>
      <c r="K448" s="147" t="s">
        <v>1147</v>
      </c>
      <c r="L448" s="147" t="s">
        <v>83</v>
      </c>
      <c r="M448" s="147" t="s">
        <v>1221</v>
      </c>
      <c r="N448" s="147" t="s">
        <v>91</v>
      </c>
      <c r="O448" s="147" t="s">
        <v>91</v>
      </c>
      <c r="P448" s="200" t="s">
        <v>85</v>
      </c>
      <c r="Q448" s="147">
        <v>11.2</v>
      </c>
      <c r="R448" s="147" t="s">
        <v>72</v>
      </c>
      <c r="S448" s="147" t="s">
        <v>73</v>
      </c>
      <c r="T448" s="147" t="s">
        <v>74</v>
      </c>
      <c r="U448" s="189">
        <v>23874270</v>
      </c>
      <c r="V448" s="148">
        <v>23874270</v>
      </c>
      <c r="W448" s="147" t="s">
        <v>75</v>
      </c>
      <c r="X448" s="147" t="s">
        <v>67</v>
      </c>
      <c r="Y448" s="147" t="s">
        <v>1149</v>
      </c>
      <c r="Z448" s="147" t="s">
        <v>1150</v>
      </c>
      <c r="AA448" s="147">
        <v>6012220601</v>
      </c>
      <c r="AB448" s="160" t="s">
        <v>1151</v>
      </c>
      <c r="AC448" s="62"/>
      <c r="AD448" s="14"/>
      <c r="AE448" s="62">
        <v>38958800</v>
      </c>
      <c r="AF448" s="14"/>
      <c r="AG448" s="62"/>
      <c r="AH448" s="14">
        <v>2969538</v>
      </c>
      <c r="AI448" s="14">
        <v>-438060</v>
      </c>
      <c r="AJ448" s="14">
        <v>3285450</v>
      </c>
      <c r="AK448" s="14"/>
      <c r="AL448" s="14">
        <v>3285450</v>
      </c>
      <c r="AM448" s="14"/>
      <c r="AN448" s="14">
        <v>3285450</v>
      </c>
      <c r="AO448" s="14"/>
      <c r="AP448" s="14">
        <v>3285450</v>
      </c>
      <c r="AQ448" s="14"/>
      <c r="AR448" s="14">
        <v>3285450</v>
      </c>
      <c r="AS448" s="14">
        <v>-15084530</v>
      </c>
      <c r="AT448" s="14">
        <v>3285450</v>
      </c>
      <c r="AU448" s="31"/>
      <c r="AV448" s="31">
        <v>753972</v>
      </c>
      <c r="AW448" s="31"/>
      <c r="AX448" s="89"/>
      <c r="AY448" s="31"/>
      <c r="AZ448" s="89"/>
      <c r="BA448" s="33">
        <v>438060</v>
      </c>
      <c r="BB448" s="33">
        <v>438060</v>
      </c>
      <c r="BC448" s="18">
        <f t="shared" si="251"/>
        <v>23874270</v>
      </c>
      <c r="BD448" s="18">
        <f t="shared" si="252"/>
        <v>23874270</v>
      </c>
      <c r="BE448" s="19">
        <f t="shared" si="253"/>
        <v>0</v>
      </c>
      <c r="BF448" s="20">
        <f t="shared" si="254"/>
        <v>0</v>
      </c>
      <c r="BG448" s="20">
        <f t="shared" si="255"/>
        <v>0</v>
      </c>
    </row>
    <row r="449" spans="1:59" ht="14.25" customHeight="1">
      <c r="A449" s="147" t="s">
        <v>59</v>
      </c>
      <c r="B449" s="147" t="s">
        <v>1142</v>
      </c>
      <c r="C449" s="151" t="s">
        <v>1143</v>
      </c>
      <c r="D449" s="151" t="s">
        <v>62</v>
      </c>
      <c r="E449" s="151">
        <v>11</v>
      </c>
      <c r="F449" s="149" t="s">
        <v>1222</v>
      </c>
      <c r="G449" s="147" t="s">
        <v>1145</v>
      </c>
      <c r="H449" s="147" t="s">
        <v>65</v>
      </c>
      <c r="I449" s="147" t="s">
        <v>1214</v>
      </c>
      <c r="J449" s="164">
        <v>80111620</v>
      </c>
      <c r="K449" s="147" t="s">
        <v>1147</v>
      </c>
      <c r="L449" s="147" t="s">
        <v>83</v>
      </c>
      <c r="M449" s="147" t="s">
        <v>1223</v>
      </c>
      <c r="N449" s="147" t="s">
        <v>91</v>
      </c>
      <c r="O449" s="147" t="s">
        <v>91</v>
      </c>
      <c r="P449" s="200" t="s">
        <v>91</v>
      </c>
      <c r="Q449" s="147">
        <v>11.4</v>
      </c>
      <c r="R449" s="147" t="s">
        <v>72</v>
      </c>
      <c r="S449" s="147" t="s">
        <v>73</v>
      </c>
      <c r="T449" s="147" t="s">
        <v>74</v>
      </c>
      <c r="U449" s="148">
        <v>55000000</v>
      </c>
      <c r="V449" s="175">
        <v>55000000</v>
      </c>
      <c r="W449" s="147" t="s">
        <v>75</v>
      </c>
      <c r="X449" s="147" t="s">
        <v>67</v>
      </c>
      <c r="Y449" s="147" t="s">
        <v>1149</v>
      </c>
      <c r="Z449" s="147" t="s">
        <v>1150</v>
      </c>
      <c r="AA449" s="147">
        <v>6012220601</v>
      </c>
      <c r="AB449" s="160" t="s">
        <v>1151</v>
      </c>
      <c r="AC449" s="62">
        <v>55000000</v>
      </c>
      <c r="AD449" s="14"/>
      <c r="AE449" s="62"/>
      <c r="AF449" s="14">
        <v>1166666.67</v>
      </c>
      <c r="AG449" s="62"/>
      <c r="AH449" s="14">
        <v>5000000</v>
      </c>
      <c r="AI449" s="14"/>
      <c r="AJ449" s="14">
        <v>5000000</v>
      </c>
      <c r="AK449" s="14"/>
      <c r="AL449" s="14">
        <v>5000000</v>
      </c>
      <c r="AM449" s="14"/>
      <c r="AN449" s="14">
        <v>5000000</v>
      </c>
      <c r="AO449" s="14"/>
      <c r="AP449" s="14">
        <v>5000000</v>
      </c>
      <c r="AQ449" s="14"/>
      <c r="AR449" s="14">
        <v>5000000</v>
      </c>
      <c r="AS449" s="14"/>
      <c r="AT449" s="14">
        <v>5000000</v>
      </c>
      <c r="AU449" s="31"/>
      <c r="AV449" s="31">
        <v>5000000</v>
      </c>
      <c r="AW449" s="31"/>
      <c r="AX449" s="31">
        <v>5000000</v>
      </c>
      <c r="AY449" s="31"/>
      <c r="AZ449" s="31">
        <v>8833333.3300000001</v>
      </c>
      <c r="BA449" s="17"/>
      <c r="BB449" s="17"/>
      <c r="BC449" s="18">
        <f t="shared" si="251"/>
        <v>55000000</v>
      </c>
      <c r="BD449" s="18">
        <f t="shared" si="252"/>
        <v>55000000</v>
      </c>
      <c r="BE449" s="19">
        <f t="shared" si="253"/>
        <v>0</v>
      </c>
      <c r="BF449" s="20">
        <f t="shared" si="254"/>
        <v>0</v>
      </c>
      <c r="BG449" s="20">
        <f t="shared" si="255"/>
        <v>0</v>
      </c>
    </row>
    <row r="450" spans="1:59" ht="14.25" customHeight="1">
      <c r="A450" s="147" t="s">
        <v>59</v>
      </c>
      <c r="B450" s="147" t="s">
        <v>1142</v>
      </c>
      <c r="C450" s="151" t="s">
        <v>1143</v>
      </c>
      <c r="D450" s="151" t="s">
        <v>62</v>
      </c>
      <c r="E450" s="151">
        <v>11</v>
      </c>
      <c r="F450" s="165" t="s">
        <v>1224</v>
      </c>
      <c r="G450" s="147" t="s">
        <v>1145</v>
      </c>
      <c r="H450" s="147" t="s">
        <v>65</v>
      </c>
      <c r="I450" s="147" t="s">
        <v>1214</v>
      </c>
      <c r="J450" s="164">
        <v>80111620</v>
      </c>
      <c r="K450" s="147" t="s">
        <v>1147</v>
      </c>
      <c r="L450" s="147" t="s">
        <v>83</v>
      </c>
      <c r="M450" s="147" t="s">
        <v>1225</v>
      </c>
      <c r="N450" s="147" t="s">
        <v>91</v>
      </c>
      <c r="O450" s="147" t="s">
        <v>91</v>
      </c>
      <c r="P450" s="200" t="s">
        <v>85</v>
      </c>
      <c r="Q450" s="147">
        <v>11.2</v>
      </c>
      <c r="R450" s="147" t="s">
        <v>72</v>
      </c>
      <c r="S450" s="147" t="s">
        <v>73</v>
      </c>
      <c r="T450" s="147" t="s">
        <v>74</v>
      </c>
      <c r="U450" s="189">
        <v>37950000</v>
      </c>
      <c r="V450" s="175">
        <v>37950000</v>
      </c>
      <c r="W450" s="147" t="s">
        <v>75</v>
      </c>
      <c r="X450" s="147" t="s">
        <v>67</v>
      </c>
      <c r="Y450" s="147" t="s">
        <v>1149</v>
      </c>
      <c r="Z450" s="147" t="s">
        <v>1150</v>
      </c>
      <c r="AA450" s="147">
        <v>6012220601</v>
      </c>
      <c r="AB450" s="160" t="s">
        <v>1151</v>
      </c>
      <c r="AC450" s="62"/>
      <c r="AD450" s="14"/>
      <c r="AE450" s="62">
        <v>37950000</v>
      </c>
      <c r="AF450" s="14"/>
      <c r="AG450" s="62"/>
      <c r="AH450" s="14">
        <v>2990000</v>
      </c>
      <c r="AI450" s="14">
        <v>-460000</v>
      </c>
      <c r="AJ450" s="14">
        <v>3450000</v>
      </c>
      <c r="AK450" s="14"/>
      <c r="AL450" s="14">
        <v>3450000</v>
      </c>
      <c r="AM450" s="14"/>
      <c r="AN450" s="14">
        <v>3450000</v>
      </c>
      <c r="AO450" s="14"/>
      <c r="AP450" s="14">
        <v>3450000</v>
      </c>
      <c r="AQ450" s="14"/>
      <c r="AR450" s="14">
        <v>3450000</v>
      </c>
      <c r="AS450" s="14"/>
      <c r="AT450" s="14">
        <v>3450000</v>
      </c>
      <c r="AU450" s="31"/>
      <c r="AV450" s="31">
        <v>3450000</v>
      </c>
      <c r="AW450" s="31"/>
      <c r="AX450" s="31">
        <v>3450000</v>
      </c>
      <c r="AY450" s="31"/>
      <c r="AZ450" s="31">
        <v>6900000</v>
      </c>
      <c r="BA450" s="33">
        <v>460000</v>
      </c>
      <c r="BB450" s="33">
        <v>460000</v>
      </c>
      <c r="BC450" s="18">
        <f t="shared" si="251"/>
        <v>37950000</v>
      </c>
      <c r="BD450" s="18">
        <f t="shared" si="252"/>
        <v>37950000</v>
      </c>
      <c r="BE450" s="19">
        <f t="shared" si="253"/>
        <v>0</v>
      </c>
      <c r="BF450" s="20">
        <f t="shared" si="254"/>
        <v>0</v>
      </c>
      <c r="BG450" s="20">
        <f t="shared" si="255"/>
        <v>0</v>
      </c>
    </row>
    <row r="451" spans="1:59" ht="14.25" customHeight="1">
      <c r="A451" s="147" t="s">
        <v>59</v>
      </c>
      <c r="B451" s="147" t="s">
        <v>1142</v>
      </c>
      <c r="C451" s="151" t="s">
        <v>1143</v>
      </c>
      <c r="D451" s="151" t="s">
        <v>62</v>
      </c>
      <c r="E451" s="151" t="s">
        <v>114</v>
      </c>
      <c r="F451" s="149" t="s">
        <v>1226</v>
      </c>
      <c r="G451" s="147" t="s">
        <v>1145</v>
      </c>
      <c r="H451" s="147" t="s">
        <v>65</v>
      </c>
      <c r="I451" s="147" t="s">
        <v>1214</v>
      </c>
      <c r="J451" s="164">
        <v>80111620</v>
      </c>
      <c r="K451" s="147" t="s">
        <v>1147</v>
      </c>
      <c r="L451" s="147" t="s">
        <v>83</v>
      </c>
      <c r="M451" s="147" t="s">
        <v>1227</v>
      </c>
      <c r="N451" s="147" t="s">
        <v>91</v>
      </c>
      <c r="O451" s="147" t="s">
        <v>91</v>
      </c>
      <c r="P451" s="200" t="s">
        <v>91</v>
      </c>
      <c r="Q451" s="147">
        <v>11.5</v>
      </c>
      <c r="R451" s="147" t="s">
        <v>72</v>
      </c>
      <c r="S451" s="147" t="s">
        <v>73</v>
      </c>
      <c r="T451" s="147" t="s">
        <v>74</v>
      </c>
      <c r="U451" s="148">
        <v>56749000</v>
      </c>
      <c r="V451" s="177">
        <v>56749000</v>
      </c>
      <c r="W451" s="147" t="s">
        <v>75</v>
      </c>
      <c r="X451" s="147" t="s">
        <v>67</v>
      </c>
      <c r="Y451" s="147" t="s">
        <v>1149</v>
      </c>
      <c r="Z451" s="147" t="s">
        <v>1150</v>
      </c>
      <c r="AA451" s="147">
        <v>6012220601</v>
      </c>
      <c r="AB451" s="160" t="s">
        <v>1151</v>
      </c>
      <c r="AC451" s="62">
        <v>56749000</v>
      </c>
      <c r="AD451" s="14"/>
      <c r="AE451" s="62"/>
      <c r="AF451" s="14">
        <v>515900</v>
      </c>
      <c r="AG451" s="62"/>
      <c r="AH451" s="14">
        <v>5159000</v>
      </c>
      <c r="AI451" s="14"/>
      <c r="AJ451" s="14">
        <v>5159000</v>
      </c>
      <c r="AK451" s="14"/>
      <c r="AL451" s="14">
        <v>5159000</v>
      </c>
      <c r="AM451" s="14"/>
      <c r="AN451" s="14">
        <v>5159000</v>
      </c>
      <c r="AO451" s="14"/>
      <c r="AP451" s="14">
        <v>5159000</v>
      </c>
      <c r="AQ451" s="14"/>
      <c r="AR451" s="14">
        <v>5159000</v>
      </c>
      <c r="AS451" s="14"/>
      <c r="AT451" s="14">
        <v>5159000</v>
      </c>
      <c r="AU451" s="78"/>
      <c r="AV451" s="79">
        <v>5159000</v>
      </c>
      <c r="AW451" s="78"/>
      <c r="AX451" s="79">
        <v>5159000</v>
      </c>
      <c r="AY451" s="78"/>
      <c r="AZ451" s="79">
        <v>9802100</v>
      </c>
      <c r="BA451" s="17"/>
      <c r="BB451" s="17"/>
      <c r="BC451" s="18">
        <f t="shared" si="251"/>
        <v>56749000</v>
      </c>
      <c r="BD451" s="18">
        <f t="shared" si="252"/>
        <v>56749000</v>
      </c>
      <c r="BE451" s="19">
        <f t="shared" si="253"/>
        <v>0</v>
      </c>
      <c r="BF451" s="20">
        <f t="shared" si="254"/>
        <v>0</v>
      </c>
      <c r="BG451" s="20">
        <f t="shared" si="255"/>
        <v>0</v>
      </c>
    </row>
    <row r="452" spans="1:59" ht="14.25" customHeight="1">
      <c r="A452" s="147" t="s">
        <v>59</v>
      </c>
      <c r="B452" s="147" t="s">
        <v>1142</v>
      </c>
      <c r="C452" s="151" t="s">
        <v>1143</v>
      </c>
      <c r="D452" s="151" t="s">
        <v>62</v>
      </c>
      <c r="E452" s="151">
        <v>11</v>
      </c>
      <c r="F452" s="165" t="s">
        <v>1228</v>
      </c>
      <c r="G452" s="147" t="s">
        <v>1145</v>
      </c>
      <c r="H452" s="147" t="s">
        <v>65</v>
      </c>
      <c r="I452" s="147" t="s">
        <v>1214</v>
      </c>
      <c r="J452" s="164">
        <v>80111620</v>
      </c>
      <c r="K452" s="147" t="s">
        <v>1147</v>
      </c>
      <c r="L452" s="147" t="s">
        <v>83</v>
      </c>
      <c r="M452" s="147" t="s">
        <v>1229</v>
      </c>
      <c r="N452" s="147" t="s">
        <v>91</v>
      </c>
      <c r="O452" s="147" t="s">
        <v>91</v>
      </c>
      <c r="P452" s="200" t="s">
        <v>85</v>
      </c>
      <c r="Q452" s="147">
        <v>11.5</v>
      </c>
      <c r="R452" s="147" t="s">
        <v>72</v>
      </c>
      <c r="S452" s="147" t="s">
        <v>73</v>
      </c>
      <c r="T452" s="147" t="s">
        <v>74</v>
      </c>
      <c r="U452" s="189">
        <v>49500000</v>
      </c>
      <c r="V452" s="175">
        <v>49500000</v>
      </c>
      <c r="W452" s="147" t="s">
        <v>75</v>
      </c>
      <c r="X452" s="147" t="s">
        <v>67</v>
      </c>
      <c r="Y452" s="147" t="s">
        <v>1149</v>
      </c>
      <c r="Z452" s="147" t="s">
        <v>1150</v>
      </c>
      <c r="AA452" s="147">
        <v>6012220601</v>
      </c>
      <c r="AB452" s="160" t="s">
        <v>1151</v>
      </c>
      <c r="AC452" s="62"/>
      <c r="AD452" s="14"/>
      <c r="AE452" s="62">
        <v>49500000</v>
      </c>
      <c r="AF452" s="14"/>
      <c r="AG452" s="62"/>
      <c r="AH452" s="14">
        <v>3900000</v>
      </c>
      <c r="AI452" s="14">
        <v>-600000</v>
      </c>
      <c r="AJ452" s="14">
        <v>4500000</v>
      </c>
      <c r="AK452" s="14"/>
      <c r="AL452" s="14">
        <v>4500000</v>
      </c>
      <c r="AM452" s="14"/>
      <c r="AN452" s="14">
        <v>4500000</v>
      </c>
      <c r="AO452" s="14"/>
      <c r="AP452" s="14">
        <v>4500000</v>
      </c>
      <c r="AQ452" s="14"/>
      <c r="AR452" s="14">
        <v>4500000</v>
      </c>
      <c r="AS452" s="14"/>
      <c r="AT452" s="14">
        <v>4500000</v>
      </c>
      <c r="AU452" s="28"/>
      <c r="AV452" s="79">
        <v>4500000</v>
      </c>
      <c r="AW452" s="78"/>
      <c r="AX452" s="79">
        <v>4500000</v>
      </c>
      <c r="AY452" s="78"/>
      <c r="AZ452" s="31">
        <v>9000000</v>
      </c>
      <c r="BA452" s="33">
        <v>600000</v>
      </c>
      <c r="BB452" s="33">
        <v>600000</v>
      </c>
      <c r="BC452" s="18">
        <f t="shared" si="251"/>
        <v>49500000</v>
      </c>
      <c r="BD452" s="18">
        <f t="shared" si="252"/>
        <v>49500000</v>
      </c>
      <c r="BE452" s="19">
        <f t="shared" si="253"/>
        <v>0</v>
      </c>
      <c r="BF452" s="20">
        <f t="shared" si="254"/>
        <v>0</v>
      </c>
      <c r="BG452" s="20">
        <f t="shared" si="255"/>
        <v>0</v>
      </c>
    </row>
    <row r="453" spans="1:59" ht="14.25" customHeight="1">
      <c r="A453" s="147" t="s">
        <v>59</v>
      </c>
      <c r="B453" s="147" t="s">
        <v>1142</v>
      </c>
      <c r="C453" s="151" t="s">
        <v>1143</v>
      </c>
      <c r="D453" s="151" t="s">
        <v>62</v>
      </c>
      <c r="E453" s="151" t="s">
        <v>114</v>
      </c>
      <c r="F453" s="149" t="s">
        <v>1230</v>
      </c>
      <c r="G453" s="147" t="s">
        <v>1145</v>
      </c>
      <c r="H453" s="147" t="s">
        <v>65</v>
      </c>
      <c r="I453" s="147" t="s">
        <v>1214</v>
      </c>
      <c r="J453" s="164">
        <v>80111620</v>
      </c>
      <c r="K453" s="147" t="s">
        <v>1147</v>
      </c>
      <c r="L453" s="147" t="s">
        <v>83</v>
      </c>
      <c r="M453" s="147" t="s">
        <v>1231</v>
      </c>
      <c r="N453" s="147" t="s">
        <v>91</v>
      </c>
      <c r="O453" s="147" t="s">
        <v>91</v>
      </c>
      <c r="P453" s="200" t="s">
        <v>85</v>
      </c>
      <c r="Q453" s="147">
        <v>10</v>
      </c>
      <c r="R453" s="147" t="s">
        <v>72</v>
      </c>
      <c r="S453" s="147" t="s">
        <v>73</v>
      </c>
      <c r="T453" s="147" t="s">
        <v>74</v>
      </c>
      <c r="U453" s="148">
        <v>62000000</v>
      </c>
      <c r="V453" s="177">
        <v>62000000</v>
      </c>
      <c r="W453" s="147" t="s">
        <v>75</v>
      </c>
      <c r="X453" s="147" t="s">
        <v>67</v>
      </c>
      <c r="Y453" s="147" t="s">
        <v>1149</v>
      </c>
      <c r="Z453" s="147" t="s">
        <v>1150</v>
      </c>
      <c r="AA453" s="147">
        <v>6012220601</v>
      </c>
      <c r="AB453" s="160" t="s">
        <v>1151</v>
      </c>
      <c r="AC453" s="62"/>
      <c r="AD453" s="14"/>
      <c r="AE453" s="62">
        <v>62000000</v>
      </c>
      <c r="AF453" s="14"/>
      <c r="AG453" s="62"/>
      <c r="AH453" s="14">
        <v>4960000</v>
      </c>
      <c r="AI453" s="14"/>
      <c r="AJ453" s="14">
        <v>6200000</v>
      </c>
      <c r="AK453" s="14"/>
      <c r="AL453" s="14">
        <v>6200000</v>
      </c>
      <c r="AM453" s="14"/>
      <c r="AN453" s="14">
        <v>6200000</v>
      </c>
      <c r="AO453" s="14"/>
      <c r="AP453" s="14">
        <v>6200000</v>
      </c>
      <c r="AQ453" s="14"/>
      <c r="AR453" s="14">
        <v>6200000</v>
      </c>
      <c r="AS453" s="14"/>
      <c r="AT453" s="14">
        <v>6200000</v>
      </c>
      <c r="AU453" s="78"/>
      <c r="AV453" s="79">
        <v>6200000</v>
      </c>
      <c r="AW453" s="78"/>
      <c r="AX453" s="79">
        <v>6200000</v>
      </c>
      <c r="AY453" s="78"/>
      <c r="AZ453" s="31">
        <v>7440000</v>
      </c>
      <c r="BA453" s="17"/>
      <c r="BB453" s="17"/>
      <c r="BC453" s="18">
        <f t="shared" si="251"/>
        <v>62000000</v>
      </c>
      <c r="BD453" s="18">
        <f t="shared" si="252"/>
        <v>62000000</v>
      </c>
      <c r="BE453" s="19">
        <f t="shared" si="253"/>
        <v>0</v>
      </c>
      <c r="BF453" s="20">
        <f t="shared" si="254"/>
        <v>0</v>
      </c>
      <c r="BG453" s="20">
        <f t="shared" si="255"/>
        <v>0</v>
      </c>
    </row>
    <row r="454" spans="1:59" ht="14.25" customHeight="1">
      <c r="A454" s="147" t="s">
        <v>59</v>
      </c>
      <c r="B454" s="147" t="s">
        <v>1142</v>
      </c>
      <c r="C454" s="151" t="s">
        <v>1143</v>
      </c>
      <c r="D454" s="151" t="s">
        <v>62</v>
      </c>
      <c r="E454" s="151" t="s">
        <v>114</v>
      </c>
      <c r="F454" s="149" t="s">
        <v>1232</v>
      </c>
      <c r="G454" s="147" t="s">
        <v>1145</v>
      </c>
      <c r="H454" s="147" t="s">
        <v>65</v>
      </c>
      <c r="I454" s="147" t="s">
        <v>1214</v>
      </c>
      <c r="J454" s="164">
        <v>80111620</v>
      </c>
      <c r="K454" s="147" t="s">
        <v>1147</v>
      </c>
      <c r="L454" s="147" t="s">
        <v>83</v>
      </c>
      <c r="M454" s="147" t="s">
        <v>1233</v>
      </c>
      <c r="N454" s="147" t="s">
        <v>91</v>
      </c>
      <c r="O454" s="147" t="s">
        <v>91</v>
      </c>
      <c r="P454" s="200" t="s">
        <v>91</v>
      </c>
      <c r="Q454" s="203">
        <v>45423</v>
      </c>
      <c r="R454" s="147" t="s">
        <v>72</v>
      </c>
      <c r="S454" s="147" t="s">
        <v>73</v>
      </c>
      <c r="T454" s="147" t="s">
        <v>74</v>
      </c>
      <c r="U454" s="175">
        <v>86250000</v>
      </c>
      <c r="V454" s="177">
        <v>86250000</v>
      </c>
      <c r="W454" s="147" t="s">
        <v>75</v>
      </c>
      <c r="X454" s="147" t="s">
        <v>67</v>
      </c>
      <c r="Y454" s="147" t="s">
        <v>1149</v>
      </c>
      <c r="Z454" s="147" t="s">
        <v>1150</v>
      </c>
      <c r="AA454" s="147">
        <v>6012220601</v>
      </c>
      <c r="AB454" s="160" t="s">
        <v>1151</v>
      </c>
      <c r="AC454" s="62">
        <v>86250000</v>
      </c>
      <c r="AD454" s="14"/>
      <c r="AE454" s="62"/>
      <c r="AF454" s="14">
        <v>5500000</v>
      </c>
      <c r="AG454" s="62"/>
      <c r="AH454" s="14">
        <v>7500000</v>
      </c>
      <c r="AI454" s="14"/>
      <c r="AJ454" s="14">
        <v>7500000</v>
      </c>
      <c r="AK454" s="14"/>
      <c r="AL454" s="14">
        <v>7500000</v>
      </c>
      <c r="AM454" s="14"/>
      <c r="AN454" s="14">
        <v>7500000</v>
      </c>
      <c r="AO454" s="14"/>
      <c r="AP454" s="14">
        <v>7500000</v>
      </c>
      <c r="AQ454" s="14"/>
      <c r="AR454" s="14">
        <v>7500000</v>
      </c>
      <c r="AS454" s="35"/>
      <c r="AT454" s="14">
        <v>7500000</v>
      </c>
      <c r="AU454" s="78"/>
      <c r="AV454" s="79">
        <v>7500000</v>
      </c>
      <c r="AW454" s="78"/>
      <c r="AX454" s="82">
        <v>7500000</v>
      </c>
      <c r="AY454" s="78"/>
      <c r="AZ454" s="79">
        <v>13250000</v>
      </c>
      <c r="BA454" s="17"/>
      <c r="BB454" s="17"/>
      <c r="BC454" s="18">
        <f t="shared" si="251"/>
        <v>86250000</v>
      </c>
      <c r="BD454" s="18">
        <f t="shared" si="252"/>
        <v>86250000</v>
      </c>
      <c r="BE454" s="19">
        <f t="shared" si="253"/>
        <v>0</v>
      </c>
      <c r="BF454" s="20">
        <f t="shared" si="254"/>
        <v>0</v>
      </c>
      <c r="BG454" s="20">
        <f t="shared" si="255"/>
        <v>0</v>
      </c>
    </row>
    <row r="455" spans="1:59" ht="14.25" customHeight="1">
      <c r="A455" s="149" t="s">
        <v>59</v>
      </c>
      <c r="B455" s="149" t="s">
        <v>1142</v>
      </c>
      <c r="C455" s="151" t="s">
        <v>1143</v>
      </c>
      <c r="D455" s="166" t="s">
        <v>62</v>
      </c>
      <c r="E455" s="166">
        <v>2</v>
      </c>
      <c r="F455" s="165" t="s">
        <v>1234</v>
      </c>
      <c r="G455" s="149" t="s">
        <v>1145</v>
      </c>
      <c r="H455" s="149" t="s">
        <v>65</v>
      </c>
      <c r="I455" s="149" t="s">
        <v>1214</v>
      </c>
      <c r="J455" s="173">
        <v>80111620</v>
      </c>
      <c r="K455" s="149" t="s">
        <v>1147</v>
      </c>
      <c r="L455" s="149" t="s">
        <v>83</v>
      </c>
      <c r="M455" s="149" t="s">
        <v>1235</v>
      </c>
      <c r="N455" s="149" t="s">
        <v>85</v>
      </c>
      <c r="O455" s="149" t="s">
        <v>85</v>
      </c>
      <c r="P455" s="200" t="s">
        <v>85</v>
      </c>
      <c r="Q455" s="149">
        <v>10.7</v>
      </c>
      <c r="R455" s="149" t="s">
        <v>72</v>
      </c>
      <c r="S455" s="149" t="s">
        <v>133</v>
      </c>
      <c r="T455" s="149" t="s">
        <v>74</v>
      </c>
      <c r="U455" s="191">
        <v>82500000</v>
      </c>
      <c r="V455" s="175">
        <v>82500000</v>
      </c>
      <c r="W455" s="149" t="s">
        <v>75</v>
      </c>
      <c r="X455" s="149" t="s">
        <v>67</v>
      </c>
      <c r="Y455" s="149" t="s">
        <v>1149</v>
      </c>
      <c r="Z455" s="149" t="s">
        <v>1150</v>
      </c>
      <c r="AA455" s="149">
        <v>6012220601</v>
      </c>
      <c r="AB455" s="172" t="s">
        <v>1151</v>
      </c>
      <c r="AC455" s="76"/>
      <c r="AD455" s="35"/>
      <c r="AE455" s="76">
        <v>81250000</v>
      </c>
      <c r="AF455" s="35"/>
      <c r="AG455" s="76"/>
      <c r="AH455" s="35">
        <v>1500000</v>
      </c>
      <c r="AI455" s="35">
        <v>-1000000</v>
      </c>
      <c r="AJ455" s="35">
        <v>7500000</v>
      </c>
      <c r="AK455" s="35"/>
      <c r="AL455" s="35">
        <v>7500000</v>
      </c>
      <c r="AM455" s="35"/>
      <c r="AN455" s="35">
        <f>7500000+ 545675</f>
        <v>8045675</v>
      </c>
      <c r="AO455" s="35"/>
      <c r="AP455" s="35">
        <f>7500000+ 1216575</f>
        <v>8716575</v>
      </c>
      <c r="AQ455" s="35"/>
      <c r="AR455" s="35">
        <v>7500000</v>
      </c>
      <c r="AS455" s="35"/>
      <c r="AT455" s="35">
        <v>7500000</v>
      </c>
      <c r="AU455" s="31"/>
      <c r="AV455" s="31">
        <v>7500000</v>
      </c>
      <c r="AW455" s="31"/>
      <c r="AX455" s="31">
        <v>7500000</v>
      </c>
      <c r="AY455" s="31"/>
      <c r="AZ455" s="31">
        <v>15000000</v>
      </c>
      <c r="BA455" s="33">
        <v>2250000</v>
      </c>
      <c r="BB455" s="33">
        <v>4237750</v>
      </c>
      <c r="BC455" s="18">
        <f t="shared" si="251"/>
        <v>82500000</v>
      </c>
      <c r="BD455" s="18">
        <f t="shared" si="252"/>
        <v>82500000</v>
      </c>
      <c r="BE455" s="19">
        <f t="shared" si="253"/>
        <v>0</v>
      </c>
      <c r="BF455" s="20">
        <f t="shared" si="254"/>
        <v>0</v>
      </c>
      <c r="BG455" s="20">
        <f t="shared" si="255"/>
        <v>0</v>
      </c>
    </row>
    <row r="456" spans="1:59" ht="14.25" customHeight="1">
      <c r="A456" s="149" t="s">
        <v>59</v>
      </c>
      <c r="B456" s="149" t="s">
        <v>1142</v>
      </c>
      <c r="C456" s="151" t="s">
        <v>1143</v>
      </c>
      <c r="D456" s="166" t="s">
        <v>62</v>
      </c>
      <c r="E456" s="151">
        <v>46</v>
      </c>
      <c r="F456" s="149" t="s">
        <v>1236</v>
      </c>
      <c r="G456" s="149" t="s">
        <v>1145</v>
      </c>
      <c r="H456" s="149" t="s">
        <v>65</v>
      </c>
      <c r="I456" s="149" t="s">
        <v>1214</v>
      </c>
      <c r="J456" s="173">
        <v>80111620</v>
      </c>
      <c r="K456" s="149" t="s">
        <v>1147</v>
      </c>
      <c r="L456" s="149" t="s">
        <v>83</v>
      </c>
      <c r="M456" s="149" t="s">
        <v>1237</v>
      </c>
      <c r="N456" s="149" t="s">
        <v>85</v>
      </c>
      <c r="O456" s="149" t="s">
        <v>85</v>
      </c>
      <c r="P456" s="200" t="s">
        <v>85</v>
      </c>
      <c r="Q456" s="149">
        <v>9</v>
      </c>
      <c r="R456" s="149" t="s">
        <v>72</v>
      </c>
      <c r="S456" s="149" t="s">
        <v>73</v>
      </c>
      <c r="T456" s="149" t="s">
        <v>74</v>
      </c>
      <c r="U456" s="175">
        <v>65800000</v>
      </c>
      <c r="V456" s="175">
        <v>65800000</v>
      </c>
      <c r="W456" s="149" t="s">
        <v>75</v>
      </c>
      <c r="X456" s="149" t="s">
        <v>67</v>
      </c>
      <c r="Y456" s="149" t="s">
        <v>1149</v>
      </c>
      <c r="Z456" s="149" t="s">
        <v>1150</v>
      </c>
      <c r="AA456" s="149">
        <v>6012220601</v>
      </c>
      <c r="AB456" s="172" t="s">
        <v>1151</v>
      </c>
      <c r="AC456" s="76"/>
      <c r="AD456" s="35"/>
      <c r="AE456" s="76">
        <v>65800000</v>
      </c>
      <c r="AF456" s="35"/>
      <c r="AG456" s="76"/>
      <c r="AH456" s="35">
        <v>5833333</v>
      </c>
      <c r="AI456" s="35"/>
      <c r="AJ456" s="35">
        <v>7000000</v>
      </c>
      <c r="AK456" s="35"/>
      <c r="AL456" s="35">
        <v>7000000</v>
      </c>
      <c r="AM456" s="35"/>
      <c r="AN456" s="35">
        <v>7000000</v>
      </c>
      <c r="AO456" s="35"/>
      <c r="AP456" s="35">
        <v>7000000</v>
      </c>
      <c r="AQ456" s="35"/>
      <c r="AR456" s="35">
        <v>7000000</v>
      </c>
      <c r="AS456" s="35"/>
      <c r="AT456" s="35">
        <v>7000000</v>
      </c>
      <c r="AU456" s="27"/>
      <c r="AV456" s="82">
        <v>7000000</v>
      </c>
      <c r="AW456" s="80"/>
      <c r="AX456" s="82">
        <v>7000000</v>
      </c>
      <c r="AY456" s="80"/>
      <c r="AZ456" s="27">
        <v>3966667</v>
      </c>
      <c r="BA456" s="17"/>
      <c r="BB456" s="17"/>
      <c r="BC456" s="18">
        <f t="shared" si="251"/>
        <v>65800000</v>
      </c>
      <c r="BD456" s="18">
        <f t="shared" si="252"/>
        <v>65800000</v>
      </c>
      <c r="BE456" s="19">
        <f t="shared" si="253"/>
        <v>0</v>
      </c>
      <c r="BF456" s="20">
        <f t="shared" si="254"/>
        <v>0</v>
      </c>
      <c r="BG456" s="20">
        <f t="shared" si="255"/>
        <v>0</v>
      </c>
    </row>
    <row r="457" spans="1:59" ht="14.25" customHeight="1">
      <c r="A457" s="149" t="s">
        <v>59</v>
      </c>
      <c r="B457" s="149" t="s">
        <v>1142</v>
      </c>
      <c r="C457" s="151" t="s">
        <v>1143</v>
      </c>
      <c r="D457" s="166" t="s">
        <v>62</v>
      </c>
      <c r="E457" s="166">
        <v>11</v>
      </c>
      <c r="F457" s="165" t="s">
        <v>1238</v>
      </c>
      <c r="G457" s="149" t="s">
        <v>1145</v>
      </c>
      <c r="H457" s="149" t="s">
        <v>65</v>
      </c>
      <c r="I457" s="149" t="s">
        <v>1214</v>
      </c>
      <c r="J457" s="173">
        <v>80111620</v>
      </c>
      <c r="K457" s="149" t="s">
        <v>1147</v>
      </c>
      <c r="L457" s="149" t="s">
        <v>83</v>
      </c>
      <c r="M457" s="149" t="s">
        <v>1239</v>
      </c>
      <c r="N457" s="149" t="s">
        <v>85</v>
      </c>
      <c r="O457" s="149" t="s">
        <v>85</v>
      </c>
      <c r="P457" s="200" t="s">
        <v>85</v>
      </c>
      <c r="Q457" s="149">
        <v>10</v>
      </c>
      <c r="R457" s="149" t="s">
        <v>72</v>
      </c>
      <c r="S457" s="149" t="s">
        <v>73</v>
      </c>
      <c r="T457" s="149" t="s">
        <v>74</v>
      </c>
      <c r="U457" s="191">
        <v>14862700</v>
      </c>
      <c r="V457" s="175">
        <v>14862700</v>
      </c>
      <c r="W457" s="149" t="s">
        <v>75</v>
      </c>
      <c r="X457" s="149" t="s">
        <v>67</v>
      </c>
      <c r="Y457" s="149" t="s">
        <v>1149</v>
      </c>
      <c r="Z457" s="149" t="s">
        <v>1150</v>
      </c>
      <c r="AA457" s="149">
        <v>6012220601</v>
      </c>
      <c r="AB457" s="172" t="s">
        <v>1151</v>
      </c>
      <c r="AC457" s="76"/>
      <c r="AD457" s="35"/>
      <c r="AE457" s="76">
        <f>14862700-1000000</f>
        <v>13862700</v>
      </c>
      <c r="AF457" s="35"/>
      <c r="AG457" s="76"/>
      <c r="AH457" s="35">
        <v>588115</v>
      </c>
      <c r="AI457" s="35"/>
      <c r="AJ457" s="35">
        <v>1260247</v>
      </c>
      <c r="AK457" s="35"/>
      <c r="AL457" s="35">
        <v>1260247</v>
      </c>
      <c r="AM457" s="35"/>
      <c r="AN457" s="35">
        <v>1344261</v>
      </c>
      <c r="AO457" s="35"/>
      <c r="AP457" s="35">
        <v>1344261</v>
      </c>
      <c r="AQ457" s="35"/>
      <c r="AR457" s="35">
        <v>824351</v>
      </c>
      <c r="AS457" s="35"/>
      <c r="AT457" s="35">
        <v>6675757</v>
      </c>
      <c r="AU457" s="23"/>
      <c r="AV457" s="27">
        <v>565461</v>
      </c>
      <c r="AW457" s="80"/>
      <c r="AX457" s="80"/>
      <c r="AY457" s="80"/>
      <c r="AZ457" s="27"/>
      <c r="BA457" s="33">
        <v>1000000</v>
      </c>
      <c r="BB457" s="33">
        <v>1000000</v>
      </c>
      <c r="BC457" s="18">
        <f t="shared" si="251"/>
        <v>14862700</v>
      </c>
      <c r="BD457" s="18">
        <f t="shared" si="252"/>
        <v>14862700</v>
      </c>
      <c r="BE457" s="19">
        <f t="shared" si="253"/>
        <v>0</v>
      </c>
      <c r="BF457" s="20">
        <f t="shared" si="254"/>
        <v>0</v>
      </c>
      <c r="BG457" s="20">
        <f t="shared" si="255"/>
        <v>0</v>
      </c>
    </row>
    <row r="458" spans="1:59" ht="14.25" customHeight="1">
      <c r="A458" s="149" t="s">
        <v>59</v>
      </c>
      <c r="B458" s="149" t="s">
        <v>1142</v>
      </c>
      <c r="C458" s="151" t="s">
        <v>1143</v>
      </c>
      <c r="D458" s="166" t="s">
        <v>62</v>
      </c>
      <c r="E458" s="151">
        <v>46</v>
      </c>
      <c r="F458" s="149" t="s">
        <v>1240</v>
      </c>
      <c r="G458" s="149" t="s">
        <v>1145</v>
      </c>
      <c r="H458" s="149" t="s">
        <v>65</v>
      </c>
      <c r="I458" s="149" t="s">
        <v>1214</v>
      </c>
      <c r="J458" s="173">
        <v>80111620</v>
      </c>
      <c r="K458" s="149" t="s">
        <v>1147</v>
      </c>
      <c r="L458" s="149" t="s">
        <v>83</v>
      </c>
      <c r="M458" s="149" t="s">
        <v>1241</v>
      </c>
      <c r="N458" s="149" t="s">
        <v>85</v>
      </c>
      <c r="O458" s="149" t="s">
        <v>85</v>
      </c>
      <c r="P458" s="200" t="s">
        <v>86</v>
      </c>
      <c r="Q458" s="149">
        <v>10.199999999999999</v>
      </c>
      <c r="R458" s="149" t="s">
        <v>72</v>
      </c>
      <c r="S458" s="149" t="s">
        <v>133</v>
      </c>
      <c r="T458" s="149" t="s">
        <v>74</v>
      </c>
      <c r="U458" s="175">
        <v>83296667</v>
      </c>
      <c r="V458" s="175">
        <v>83296667</v>
      </c>
      <c r="W458" s="149" t="s">
        <v>75</v>
      </c>
      <c r="X458" s="149" t="s">
        <v>67</v>
      </c>
      <c r="Y458" s="149" t="s">
        <v>1149</v>
      </c>
      <c r="Z458" s="149" t="s">
        <v>1150</v>
      </c>
      <c r="AA458" s="149">
        <v>6012220601</v>
      </c>
      <c r="AB458" s="172" t="s">
        <v>1151</v>
      </c>
      <c r="AC458" s="76"/>
      <c r="AD458" s="35"/>
      <c r="AE458" s="76"/>
      <c r="AF458" s="35"/>
      <c r="AG458" s="76">
        <v>83850000</v>
      </c>
      <c r="AH458" s="35"/>
      <c r="AI458" s="35"/>
      <c r="AJ458" s="35">
        <v>3596667</v>
      </c>
      <c r="AK458" s="35">
        <v>-553333</v>
      </c>
      <c r="AL458" s="35">
        <v>9203395</v>
      </c>
      <c r="AM458" s="35"/>
      <c r="AN458" s="35">
        <v>9203395</v>
      </c>
      <c r="AO458" s="35"/>
      <c r="AP458" s="35">
        <v>8300000</v>
      </c>
      <c r="AQ458" s="35"/>
      <c r="AR458" s="35">
        <v>8300000</v>
      </c>
      <c r="AS458" s="35"/>
      <c r="AT458" s="35">
        <v>8300000</v>
      </c>
      <c r="AU458" s="88"/>
      <c r="AV458" s="31">
        <v>8300000</v>
      </c>
      <c r="AW458" s="31"/>
      <c r="AX458" s="31">
        <v>8300000</v>
      </c>
      <c r="AY458" s="31"/>
      <c r="AZ458" s="31">
        <v>19793210</v>
      </c>
      <c r="BA458" s="17"/>
      <c r="BB458" s="17"/>
      <c r="BC458" s="18">
        <f t="shared" si="251"/>
        <v>83296667</v>
      </c>
      <c r="BD458" s="18">
        <f t="shared" si="252"/>
        <v>83296667</v>
      </c>
      <c r="BE458" s="19">
        <f t="shared" si="253"/>
        <v>0</v>
      </c>
      <c r="BF458" s="20">
        <f t="shared" si="254"/>
        <v>0</v>
      </c>
      <c r="BG458" s="20">
        <f t="shared" si="255"/>
        <v>0</v>
      </c>
    </row>
    <row r="459" spans="1:59" ht="14.25" customHeight="1">
      <c r="A459" s="149" t="s">
        <v>59</v>
      </c>
      <c r="B459" s="149" t="s">
        <v>1142</v>
      </c>
      <c r="C459" s="151" t="s">
        <v>1143</v>
      </c>
      <c r="D459" s="166" t="s">
        <v>62</v>
      </c>
      <c r="E459" s="166">
        <v>5</v>
      </c>
      <c r="F459" s="149" t="s">
        <v>1242</v>
      </c>
      <c r="G459" s="149" t="s">
        <v>1145</v>
      </c>
      <c r="H459" s="149" t="s">
        <v>65</v>
      </c>
      <c r="I459" s="149" t="s">
        <v>1214</v>
      </c>
      <c r="J459" s="173">
        <v>80111620</v>
      </c>
      <c r="K459" s="149" t="s">
        <v>1147</v>
      </c>
      <c r="L459" s="149" t="s">
        <v>83</v>
      </c>
      <c r="M459" s="149" t="s">
        <v>1243</v>
      </c>
      <c r="N459" s="149" t="s">
        <v>85</v>
      </c>
      <c r="O459" s="149" t="s">
        <v>85</v>
      </c>
      <c r="P459" s="200" t="s">
        <v>85</v>
      </c>
      <c r="Q459" s="149">
        <v>10.5</v>
      </c>
      <c r="R459" s="149" t="s">
        <v>72</v>
      </c>
      <c r="S459" s="149" t="s">
        <v>73</v>
      </c>
      <c r="T459" s="149" t="s">
        <v>74</v>
      </c>
      <c r="U459" s="175">
        <v>47250000</v>
      </c>
      <c r="V459" s="185">
        <v>47250000</v>
      </c>
      <c r="W459" s="149" t="s">
        <v>75</v>
      </c>
      <c r="X459" s="149" t="s">
        <v>67</v>
      </c>
      <c r="Y459" s="149" t="s">
        <v>1149</v>
      </c>
      <c r="Z459" s="149" t="s">
        <v>1150</v>
      </c>
      <c r="AA459" s="149">
        <v>6012220601</v>
      </c>
      <c r="AB459" s="172" t="s">
        <v>1151</v>
      </c>
      <c r="AC459" s="76"/>
      <c r="AD459" s="35"/>
      <c r="AE459" s="76">
        <v>47250000</v>
      </c>
      <c r="AF459" s="35"/>
      <c r="AG459" s="76"/>
      <c r="AH459" s="35">
        <v>2700000</v>
      </c>
      <c r="AI459" s="35"/>
      <c r="AJ459" s="35">
        <v>4500000</v>
      </c>
      <c r="AK459" s="35"/>
      <c r="AL459" s="35">
        <v>4500000</v>
      </c>
      <c r="AM459" s="35"/>
      <c r="AN459" s="35">
        <v>4500000</v>
      </c>
      <c r="AO459" s="35"/>
      <c r="AP459" s="35">
        <v>4500000</v>
      </c>
      <c r="AQ459" s="35"/>
      <c r="AR459" s="35">
        <v>4500000</v>
      </c>
      <c r="AS459" s="35"/>
      <c r="AT459" s="35">
        <v>4500000</v>
      </c>
      <c r="AU459" s="31"/>
      <c r="AV459" s="31">
        <v>4500000</v>
      </c>
      <c r="AW459" s="31"/>
      <c r="AX459" s="31">
        <v>4500000</v>
      </c>
      <c r="AY459" s="31"/>
      <c r="AZ459" s="31">
        <v>8550000</v>
      </c>
      <c r="BA459" s="17"/>
      <c r="BB459" s="17"/>
      <c r="BC459" s="18">
        <f t="shared" si="251"/>
        <v>47250000</v>
      </c>
      <c r="BD459" s="18">
        <f t="shared" si="252"/>
        <v>47250000</v>
      </c>
      <c r="BE459" s="19">
        <f t="shared" si="253"/>
        <v>0</v>
      </c>
      <c r="BF459" s="20">
        <f t="shared" si="254"/>
        <v>0</v>
      </c>
      <c r="BG459" s="20">
        <f t="shared" si="255"/>
        <v>0</v>
      </c>
    </row>
    <row r="460" spans="1:59" ht="14.25" customHeight="1">
      <c r="A460" s="149" t="s">
        <v>59</v>
      </c>
      <c r="B460" s="149" t="s">
        <v>1142</v>
      </c>
      <c r="C460" s="151" t="s">
        <v>1143</v>
      </c>
      <c r="D460" s="166" t="s">
        <v>62</v>
      </c>
      <c r="E460" s="166" t="s">
        <v>114</v>
      </c>
      <c r="F460" s="149" t="s">
        <v>1244</v>
      </c>
      <c r="G460" s="149" t="s">
        <v>1174</v>
      </c>
      <c r="H460" s="149" t="s">
        <v>1175</v>
      </c>
      <c r="I460" s="149" t="s">
        <v>1245</v>
      </c>
      <c r="J460" s="173">
        <v>80111620</v>
      </c>
      <c r="K460" s="149" t="s">
        <v>1177</v>
      </c>
      <c r="L460" s="149" t="s">
        <v>83</v>
      </c>
      <c r="M460" s="149" t="s">
        <v>1246</v>
      </c>
      <c r="N460" s="149" t="s">
        <v>85</v>
      </c>
      <c r="O460" s="149" t="s">
        <v>85</v>
      </c>
      <c r="P460" s="200" t="s">
        <v>85</v>
      </c>
      <c r="Q460" s="149">
        <v>10</v>
      </c>
      <c r="R460" s="149" t="s">
        <v>72</v>
      </c>
      <c r="S460" s="149" t="s">
        <v>73</v>
      </c>
      <c r="T460" s="149" t="s">
        <v>74</v>
      </c>
      <c r="U460" s="175">
        <v>48997300</v>
      </c>
      <c r="V460" s="175">
        <v>48997300</v>
      </c>
      <c r="W460" s="149" t="s">
        <v>75</v>
      </c>
      <c r="X460" s="149" t="s">
        <v>67</v>
      </c>
      <c r="Y460" s="149" t="s">
        <v>1149</v>
      </c>
      <c r="Z460" s="149" t="s">
        <v>1150</v>
      </c>
      <c r="AA460" s="149">
        <v>6012220601</v>
      </c>
      <c r="AB460" s="172" t="s">
        <v>1151</v>
      </c>
      <c r="AC460" s="76"/>
      <c r="AD460" s="35"/>
      <c r="AE460" s="76">
        <v>48997300</v>
      </c>
      <c r="AF460" s="35"/>
      <c r="AG460" s="76"/>
      <c r="AH460" s="35">
        <v>1490067</v>
      </c>
      <c r="AI460" s="35"/>
      <c r="AJ460" s="35">
        <v>3193002</v>
      </c>
      <c r="AK460" s="35"/>
      <c r="AL460" s="35">
        <v>3193002</v>
      </c>
      <c r="AM460" s="35"/>
      <c r="AN460" s="35">
        <f>4965154+ 1390148</f>
        <v>6355302</v>
      </c>
      <c r="AO460" s="35"/>
      <c r="AP460" s="35">
        <v>4965154</v>
      </c>
      <c r="AQ460" s="35"/>
      <c r="AR460" s="35">
        <v>366234</v>
      </c>
      <c r="AS460" s="35"/>
      <c r="AT460" s="35"/>
      <c r="AU460" s="80"/>
      <c r="AV460" s="23">
        <v>6934539</v>
      </c>
      <c r="AW460" s="80"/>
      <c r="AX460" s="23">
        <v>7500000</v>
      </c>
      <c r="AY460" s="80"/>
      <c r="AZ460" s="23">
        <v>15000000</v>
      </c>
      <c r="BA460" s="17"/>
      <c r="BB460" s="33"/>
      <c r="BC460" s="18">
        <f t="shared" si="251"/>
        <v>48997300</v>
      </c>
      <c r="BD460" s="18">
        <f t="shared" si="252"/>
        <v>48997300</v>
      </c>
      <c r="BE460" s="19">
        <f t="shared" si="253"/>
        <v>0</v>
      </c>
      <c r="BF460" s="20">
        <f t="shared" si="254"/>
        <v>0</v>
      </c>
      <c r="BG460" s="20">
        <f t="shared" si="255"/>
        <v>0</v>
      </c>
    </row>
    <row r="461" spans="1:59" ht="14.25" customHeight="1">
      <c r="A461" s="147" t="s">
        <v>59</v>
      </c>
      <c r="B461" s="147" t="s">
        <v>1142</v>
      </c>
      <c r="C461" s="151" t="s">
        <v>1143</v>
      </c>
      <c r="D461" s="151" t="s">
        <v>62</v>
      </c>
      <c r="E461" s="151">
        <v>25</v>
      </c>
      <c r="F461" s="149" t="s">
        <v>1247</v>
      </c>
      <c r="G461" s="147" t="s">
        <v>1248</v>
      </c>
      <c r="H461" s="147" t="s">
        <v>1175</v>
      </c>
      <c r="I461" s="147" t="s">
        <v>1245</v>
      </c>
      <c r="J461" s="164" t="s">
        <v>1249</v>
      </c>
      <c r="K461" s="147" t="s">
        <v>1177</v>
      </c>
      <c r="L461" s="147" t="s">
        <v>917</v>
      </c>
      <c r="M461" s="147" t="s">
        <v>1250</v>
      </c>
      <c r="N461" s="147" t="s">
        <v>85</v>
      </c>
      <c r="O461" s="147" t="s">
        <v>85</v>
      </c>
      <c r="P461" s="200" t="s">
        <v>142</v>
      </c>
      <c r="Q461" s="147">
        <v>11</v>
      </c>
      <c r="R461" s="147" t="s">
        <v>72</v>
      </c>
      <c r="S461" s="147" t="s">
        <v>156</v>
      </c>
      <c r="T461" s="147" t="s">
        <v>74</v>
      </c>
      <c r="U461" s="148">
        <v>168335071</v>
      </c>
      <c r="V461" s="148">
        <v>168335071</v>
      </c>
      <c r="W461" s="147" t="s">
        <v>75</v>
      </c>
      <c r="X461" s="147" t="s">
        <v>67</v>
      </c>
      <c r="Y461" s="147" t="s">
        <v>1149</v>
      </c>
      <c r="Z461" s="147" t="s">
        <v>1150</v>
      </c>
      <c r="AA461" s="147">
        <v>6012220601</v>
      </c>
      <c r="AB461" s="160" t="s">
        <v>1151</v>
      </c>
      <c r="AC461" s="62"/>
      <c r="AD461" s="14"/>
      <c r="AE461" s="62"/>
      <c r="AF461" s="14"/>
      <c r="AG461" s="62"/>
      <c r="AH461" s="14"/>
      <c r="AI461" s="14"/>
      <c r="AJ461" s="14"/>
      <c r="AK461" s="14"/>
      <c r="AL461" s="14"/>
      <c r="AM461" s="14"/>
      <c r="AN461" s="14"/>
      <c r="AO461" s="14"/>
      <c r="AP461" s="14"/>
      <c r="AQ461" s="14">
        <v>168335071</v>
      </c>
      <c r="AR461" s="14"/>
      <c r="AS461" s="14"/>
      <c r="AT461" s="14"/>
      <c r="AU461" s="31"/>
      <c r="AV461" s="31">
        <v>56000000</v>
      </c>
      <c r="AW461" s="31"/>
      <c r="AX461" s="31">
        <v>56000000</v>
      </c>
      <c r="AY461" s="31"/>
      <c r="AZ461" s="31">
        <v>56335071</v>
      </c>
      <c r="BA461" s="17"/>
      <c r="BB461" s="17"/>
      <c r="BC461" s="18">
        <f t="shared" si="251"/>
        <v>168335071</v>
      </c>
      <c r="BD461" s="18">
        <f t="shared" si="252"/>
        <v>168335071</v>
      </c>
      <c r="BE461" s="19">
        <f t="shared" si="253"/>
        <v>0</v>
      </c>
      <c r="BF461" s="20">
        <f t="shared" si="254"/>
        <v>0</v>
      </c>
      <c r="BG461" s="20">
        <f t="shared" si="255"/>
        <v>0</v>
      </c>
    </row>
    <row r="462" spans="1:59" ht="14.25" customHeight="1">
      <c r="A462" s="147" t="s">
        <v>59</v>
      </c>
      <c r="B462" s="147" t="s">
        <v>1142</v>
      </c>
      <c r="C462" s="151" t="s">
        <v>1143</v>
      </c>
      <c r="D462" s="151" t="s">
        <v>62</v>
      </c>
      <c r="E462" s="151">
        <v>2</v>
      </c>
      <c r="F462" s="165" t="s">
        <v>1251</v>
      </c>
      <c r="G462" s="147" t="s">
        <v>1174</v>
      </c>
      <c r="H462" s="147" t="s">
        <v>1175</v>
      </c>
      <c r="I462" s="147" t="s">
        <v>1245</v>
      </c>
      <c r="J462" s="164">
        <v>80111620</v>
      </c>
      <c r="K462" s="147" t="s">
        <v>1177</v>
      </c>
      <c r="L462" s="147" t="s">
        <v>83</v>
      </c>
      <c r="M462" s="147" t="s">
        <v>1252</v>
      </c>
      <c r="N462" s="147" t="s">
        <v>91</v>
      </c>
      <c r="O462" s="147" t="s">
        <v>91</v>
      </c>
      <c r="P462" s="200" t="s">
        <v>85</v>
      </c>
      <c r="Q462" s="147">
        <v>11.1</v>
      </c>
      <c r="R462" s="147" t="s">
        <v>72</v>
      </c>
      <c r="S462" s="147" t="s">
        <v>73</v>
      </c>
      <c r="T462" s="147" t="s">
        <v>74</v>
      </c>
      <c r="U462" s="189">
        <v>70500000</v>
      </c>
      <c r="V462" s="148">
        <v>70500000</v>
      </c>
      <c r="W462" s="147" t="s">
        <v>75</v>
      </c>
      <c r="X462" s="147" t="s">
        <v>67</v>
      </c>
      <c r="Y462" s="147" t="s">
        <v>1149</v>
      </c>
      <c r="Z462" s="147" t="s">
        <v>1150</v>
      </c>
      <c r="AA462" s="147">
        <v>6012220601</v>
      </c>
      <c r="AB462" s="160" t="s">
        <v>1151</v>
      </c>
      <c r="AC462" s="62"/>
      <c r="AD462" s="14"/>
      <c r="AE462" s="62">
        <v>70500000</v>
      </c>
      <c r="AF462" s="14"/>
      <c r="AG462" s="62"/>
      <c r="AH462" s="14">
        <f>5200000+ 826125</f>
        <v>6026125</v>
      </c>
      <c r="AI462" s="14">
        <v>-800000</v>
      </c>
      <c r="AJ462" s="14">
        <v>6000000</v>
      </c>
      <c r="AK462" s="14"/>
      <c r="AL462" s="14">
        <v>6000000</v>
      </c>
      <c r="AM462" s="14"/>
      <c r="AN462" s="14">
        <v>6000000</v>
      </c>
      <c r="AO462" s="14"/>
      <c r="AP462" s="14">
        <f>6000000+ 1471800</f>
        <v>7471800</v>
      </c>
      <c r="AQ462" s="14"/>
      <c r="AR462" s="14">
        <v>6000000</v>
      </c>
      <c r="AS462" s="14"/>
      <c r="AT462" s="14">
        <v>6000000</v>
      </c>
      <c r="AU462" s="31"/>
      <c r="AV462" s="31">
        <v>7000000</v>
      </c>
      <c r="AW462" s="31"/>
      <c r="AX462" s="31">
        <v>6000000</v>
      </c>
      <c r="AY462" s="31"/>
      <c r="AZ462" s="31">
        <v>13202075</v>
      </c>
      <c r="BA462" s="33">
        <v>800000</v>
      </c>
      <c r="BB462" s="33">
        <v>800000</v>
      </c>
      <c r="BC462" s="18">
        <f t="shared" si="251"/>
        <v>70500000</v>
      </c>
      <c r="BD462" s="18">
        <f t="shared" si="252"/>
        <v>70500000</v>
      </c>
      <c r="BE462" s="19">
        <f t="shared" si="253"/>
        <v>0</v>
      </c>
      <c r="BF462" s="20">
        <f t="shared" si="254"/>
        <v>0</v>
      </c>
      <c r="BG462" s="20">
        <f t="shared" si="255"/>
        <v>0</v>
      </c>
    </row>
    <row r="463" spans="1:59" ht="17.25" customHeight="1">
      <c r="A463" s="147" t="s">
        <v>59</v>
      </c>
      <c r="B463" s="147" t="s">
        <v>1142</v>
      </c>
      <c r="C463" s="151" t="s">
        <v>1143</v>
      </c>
      <c r="D463" s="151" t="s">
        <v>62</v>
      </c>
      <c r="E463" s="151">
        <v>46</v>
      </c>
      <c r="F463" s="149" t="s">
        <v>1253</v>
      </c>
      <c r="G463" s="147" t="s">
        <v>1174</v>
      </c>
      <c r="H463" s="147" t="s">
        <v>1175</v>
      </c>
      <c r="I463" s="147" t="s">
        <v>1176</v>
      </c>
      <c r="J463" s="164">
        <v>80111620</v>
      </c>
      <c r="K463" s="147" t="s">
        <v>1177</v>
      </c>
      <c r="L463" s="147" t="s">
        <v>83</v>
      </c>
      <c r="M463" s="147" t="s">
        <v>1254</v>
      </c>
      <c r="N463" s="147" t="s">
        <v>85</v>
      </c>
      <c r="O463" s="147" t="s">
        <v>85</v>
      </c>
      <c r="P463" s="200" t="s">
        <v>86</v>
      </c>
      <c r="Q463" s="147">
        <v>10</v>
      </c>
      <c r="R463" s="147" t="s">
        <v>72</v>
      </c>
      <c r="S463" s="147" t="s">
        <v>73</v>
      </c>
      <c r="T463" s="147" t="s">
        <v>74</v>
      </c>
      <c r="U463" s="148">
        <v>63000000</v>
      </c>
      <c r="V463" s="148">
        <v>63000000</v>
      </c>
      <c r="W463" s="147" t="s">
        <v>75</v>
      </c>
      <c r="X463" s="147" t="s">
        <v>67</v>
      </c>
      <c r="Y463" s="147" t="s">
        <v>1149</v>
      </c>
      <c r="Z463" s="147" t="s">
        <v>1150</v>
      </c>
      <c r="AA463" s="147">
        <v>6012220601</v>
      </c>
      <c r="AB463" s="160" t="s">
        <v>1151</v>
      </c>
      <c r="AC463" s="62"/>
      <c r="AD463" s="14"/>
      <c r="AE463" s="62"/>
      <c r="AF463" s="14"/>
      <c r="AG463" s="62">
        <v>63000000</v>
      </c>
      <c r="AH463" s="14"/>
      <c r="AI463" s="14"/>
      <c r="AJ463" s="14">
        <v>4869050</v>
      </c>
      <c r="AK463" s="14"/>
      <c r="AL463" s="14">
        <v>6000000</v>
      </c>
      <c r="AM463" s="14"/>
      <c r="AN463" s="14">
        <v>7912475</v>
      </c>
      <c r="AO463" s="14"/>
      <c r="AP463" s="14">
        <v>6495675</v>
      </c>
      <c r="AQ463" s="14"/>
      <c r="AR463" s="14">
        <v>6000000</v>
      </c>
      <c r="AS463" s="14"/>
      <c r="AT463" s="14">
        <v>6000000</v>
      </c>
      <c r="AU463" s="28"/>
      <c r="AV463" s="31">
        <v>6000000</v>
      </c>
      <c r="AW463" s="78"/>
      <c r="AX463" s="31">
        <v>6000000</v>
      </c>
      <c r="AY463" s="78"/>
      <c r="AZ463" s="31">
        <v>13722800</v>
      </c>
      <c r="BA463" s="17"/>
      <c r="BB463" s="17"/>
      <c r="BC463" s="18">
        <f t="shared" si="251"/>
        <v>63000000</v>
      </c>
      <c r="BD463" s="18">
        <f t="shared" si="252"/>
        <v>63000000</v>
      </c>
      <c r="BE463" s="19">
        <f t="shared" si="253"/>
        <v>0</v>
      </c>
      <c r="BF463" s="20">
        <f t="shared" si="254"/>
        <v>0</v>
      </c>
      <c r="BG463" s="20">
        <f t="shared" si="255"/>
        <v>0</v>
      </c>
    </row>
    <row r="464" spans="1:59" ht="18" customHeight="1">
      <c r="A464" s="147" t="s">
        <v>59</v>
      </c>
      <c r="B464" s="147" t="s">
        <v>1142</v>
      </c>
      <c r="C464" s="151" t="s">
        <v>1143</v>
      </c>
      <c r="D464" s="151" t="s">
        <v>62</v>
      </c>
      <c r="E464" s="151">
        <v>25</v>
      </c>
      <c r="F464" s="165" t="s">
        <v>1255</v>
      </c>
      <c r="G464" s="147" t="s">
        <v>1174</v>
      </c>
      <c r="H464" s="147" t="s">
        <v>1175</v>
      </c>
      <c r="I464" s="147" t="s">
        <v>1176</v>
      </c>
      <c r="J464" s="164" t="s">
        <v>67</v>
      </c>
      <c r="K464" s="147" t="s">
        <v>1177</v>
      </c>
      <c r="L464" s="147" t="s">
        <v>275</v>
      </c>
      <c r="M464" s="147" t="s">
        <v>1256</v>
      </c>
      <c r="N464" s="147" t="s">
        <v>85</v>
      </c>
      <c r="O464" s="147" t="s">
        <v>85</v>
      </c>
      <c r="P464" s="200" t="s">
        <v>85</v>
      </c>
      <c r="Q464" s="147">
        <v>12</v>
      </c>
      <c r="R464" s="147" t="s">
        <v>72</v>
      </c>
      <c r="S464" s="147" t="s">
        <v>67</v>
      </c>
      <c r="T464" s="147" t="s">
        <v>74</v>
      </c>
      <c r="U464" s="189">
        <v>96318378</v>
      </c>
      <c r="V464" s="148">
        <v>96318378</v>
      </c>
      <c r="W464" s="147" t="s">
        <v>75</v>
      </c>
      <c r="X464" s="147" t="s">
        <v>67</v>
      </c>
      <c r="Y464" s="147" t="s">
        <v>1149</v>
      </c>
      <c r="Z464" s="147" t="s">
        <v>1150</v>
      </c>
      <c r="AA464" s="147">
        <v>6012220601</v>
      </c>
      <c r="AB464" s="160" t="s">
        <v>1151</v>
      </c>
      <c r="AC464" s="62"/>
      <c r="AD464" s="14"/>
      <c r="AE464" s="62">
        <f>371177+ 285327 +180679</f>
        <v>837183</v>
      </c>
      <c r="AF464" s="14">
        <v>371177</v>
      </c>
      <c r="AG464" s="62">
        <f>408934+ 790688 + 325327</f>
        <v>1524949</v>
      </c>
      <c r="AH464" s="14">
        <f>180679+ 285327 + 408934 + 325327 +790688</f>
        <v>1990955</v>
      </c>
      <c r="AI464" s="14">
        <f>989245+ 408934</f>
        <v>1398179</v>
      </c>
      <c r="AJ464" s="14">
        <v>989245</v>
      </c>
      <c r="AK464" s="14">
        <f>903395+ 1174730 + 494259 + 804838 + 989245 + 325327 + 855981</f>
        <v>5547775</v>
      </c>
      <c r="AL464" s="14">
        <f>408934+ 1174730 + 903395+ 494259 + 804838 +989245 + 325327</f>
        <v>5100728</v>
      </c>
      <c r="AM464" s="14">
        <f>1258730+469892+ 2497289 + 964975</f>
        <v>5190886</v>
      </c>
      <c r="AN464" s="14">
        <f>855981+ 1258730 + 469892 + 2497289</f>
        <v>5081892</v>
      </c>
      <c r="AO464" s="14">
        <f>1001751+ 305301
 +193266</f>
        <v>1500318</v>
      </c>
      <c r="AP464" s="14">
        <f>964975+ 1001751</f>
        <v>1966726</v>
      </c>
      <c r="AQ464" s="14">
        <f>1632865+ 1363328</f>
        <v>2996193</v>
      </c>
      <c r="AR464" s="14">
        <f>305301+ 193266</f>
        <v>498567</v>
      </c>
      <c r="AS464" s="14">
        <f>1465896+ 1001751 +904179+ 915901 +305301+251393+168919 + 915901 + 1256964 +630373+679797+854179</f>
        <v>9350554</v>
      </c>
      <c r="AT464" s="14">
        <f>1632865+ 1465896 + 1001751 + 1363328 +904179+ 915901</f>
        <v>7283920</v>
      </c>
      <c r="AU464" s="31">
        <v>7000000</v>
      </c>
      <c r="AV464" s="31">
        <v>7000000</v>
      </c>
      <c r="AW464" s="31">
        <v>10000000</v>
      </c>
      <c r="AX464" s="31">
        <v>10000000</v>
      </c>
      <c r="AY464" s="31">
        <v>10972341</v>
      </c>
      <c r="AZ464" s="31">
        <v>16035168</v>
      </c>
      <c r="BA464" s="33">
        <v>40000000</v>
      </c>
      <c r="BB464" s="33">
        <v>40000000</v>
      </c>
      <c r="BC464" s="18">
        <f t="shared" si="251"/>
        <v>96318378</v>
      </c>
      <c r="BD464" s="18">
        <f t="shared" si="252"/>
        <v>96318378</v>
      </c>
      <c r="BE464" s="19">
        <f t="shared" si="253"/>
        <v>0</v>
      </c>
      <c r="BF464" s="20">
        <f t="shared" si="254"/>
        <v>0</v>
      </c>
      <c r="BG464" s="20">
        <f t="shared" si="255"/>
        <v>0</v>
      </c>
    </row>
    <row r="465" spans="1:59" ht="14.25" customHeight="1">
      <c r="A465" s="147" t="s">
        <v>59</v>
      </c>
      <c r="B465" s="147" t="s">
        <v>1142</v>
      </c>
      <c r="C465" s="151" t="s">
        <v>1143</v>
      </c>
      <c r="D465" s="151" t="s">
        <v>62</v>
      </c>
      <c r="E465" s="151">
        <v>46</v>
      </c>
      <c r="F465" s="149" t="s">
        <v>1257</v>
      </c>
      <c r="G465" s="147" t="s">
        <v>1174</v>
      </c>
      <c r="H465" s="147" t="s">
        <v>1175</v>
      </c>
      <c r="I465" s="147" t="s">
        <v>1176</v>
      </c>
      <c r="J465" s="164">
        <v>80111620</v>
      </c>
      <c r="K465" s="147" t="s">
        <v>1177</v>
      </c>
      <c r="L465" s="147" t="s">
        <v>83</v>
      </c>
      <c r="M465" s="149" t="s">
        <v>1258</v>
      </c>
      <c r="N465" s="147" t="s">
        <v>86</v>
      </c>
      <c r="O465" s="147" t="s">
        <v>86</v>
      </c>
      <c r="P465" s="200" t="s">
        <v>99</v>
      </c>
      <c r="Q465" s="147">
        <v>8</v>
      </c>
      <c r="R465" s="147" t="s">
        <v>72</v>
      </c>
      <c r="S465" s="147" t="s">
        <v>73</v>
      </c>
      <c r="T465" s="147" t="s">
        <v>74</v>
      </c>
      <c r="U465" s="148">
        <v>33094390</v>
      </c>
      <c r="V465" s="148">
        <v>33094390</v>
      </c>
      <c r="W465" s="147" t="s">
        <v>75</v>
      </c>
      <c r="X465" s="147" t="s">
        <v>67</v>
      </c>
      <c r="Y465" s="147" t="s">
        <v>1149</v>
      </c>
      <c r="Z465" s="147" t="s">
        <v>1150</v>
      </c>
      <c r="AA465" s="147">
        <v>6012220601</v>
      </c>
      <c r="AB465" s="160" t="s">
        <v>1151</v>
      </c>
      <c r="AC465" s="62"/>
      <c r="AD465" s="14"/>
      <c r="AE465" s="62"/>
      <c r="AF465" s="14"/>
      <c r="AG465" s="62"/>
      <c r="AH465" s="14"/>
      <c r="AI465" s="14">
        <v>54841995</v>
      </c>
      <c r="AJ465" s="14"/>
      <c r="AK465" s="14"/>
      <c r="AL465" s="14">
        <v>4442200</v>
      </c>
      <c r="AM465" s="14"/>
      <c r="AN465" s="14">
        <v>6663300</v>
      </c>
      <c r="AO465" s="14"/>
      <c r="AP465" s="14">
        <v>6663300</v>
      </c>
      <c r="AQ465" s="14"/>
      <c r="AR465" s="14">
        <v>6663300</v>
      </c>
      <c r="AS465" s="14">
        <v>-21747605</v>
      </c>
      <c r="AT465" s="14">
        <v>6663300</v>
      </c>
      <c r="AU465" s="79"/>
      <c r="AV465" s="23">
        <v>1998990</v>
      </c>
      <c r="AW465" s="79"/>
      <c r="AX465" s="23"/>
      <c r="AY465" s="79"/>
      <c r="AZ465" s="31"/>
      <c r="BA465" s="17"/>
      <c r="BB465" s="17"/>
      <c r="BC465" s="18">
        <f t="shared" si="251"/>
        <v>33094390</v>
      </c>
      <c r="BD465" s="18">
        <f t="shared" si="252"/>
        <v>33094390</v>
      </c>
      <c r="BE465" s="19">
        <f t="shared" si="253"/>
        <v>0</v>
      </c>
      <c r="BF465" s="20">
        <f t="shared" si="254"/>
        <v>0</v>
      </c>
      <c r="BG465" s="20">
        <f t="shared" si="255"/>
        <v>0</v>
      </c>
    </row>
    <row r="466" spans="1:59" ht="14.25" customHeight="1">
      <c r="A466" s="147" t="s">
        <v>59</v>
      </c>
      <c r="B466" s="147" t="s">
        <v>1142</v>
      </c>
      <c r="C466" s="151" t="s">
        <v>1143</v>
      </c>
      <c r="D466" s="151" t="s">
        <v>62</v>
      </c>
      <c r="E466" s="151">
        <v>5</v>
      </c>
      <c r="F466" s="149" t="s">
        <v>1259</v>
      </c>
      <c r="G466" s="147" t="s">
        <v>1174</v>
      </c>
      <c r="H466" s="147" t="s">
        <v>1175</v>
      </c>
      <c r="I466" s="147" t="s">
        <v>1176</v>
      </c>
      <c r="J466" s="164">
        <v>80111620</v>
      </c>
      <c r="K466" s="147" t="s">
        <v>1177</v>
      </c>
      <c r="L466" s="147" t="s">
        <v>83</v>
      </c>
      <c r="M466" s="147" t="s">
        <v>1260</v>
      </c>
      <c r="N466" s="147" t="s">
        <v>85</v>
      </c>
      <c r="O466" s="147" t="s">
        <v>85</v>
      </c>
      <c r="P466" s="200" t="s">
        <v>85</v>
      </c>
      <c r="Q466" s="147">
        <v>10.5</v>
      </c>
      <c r="R466" s="147" t="s">
        <v>72</v>
      </c>
      <c r="S466" s="147" t="s">
        <v>73</v>
      </c>
      <c r="T466" s="147" t="s">
        <v>74</v>
      </c>
      <c r="U466" s="148">
        <v>68466667</v>
      </c>
      <c r="V466" s="148">
        <v>68466667</v>
      </c>
      <c r="W466" s="147" t="s">
        <v>75</v>
      </c>
      <c r="X466" s="147" t="s">
        <v>67</v>
      </c>
      <c r="Y466" s="147" t="s">
        <v>1149</v>
      </c>
      <c r="Z466" s="147" t="s">
        <v>1150</v>
      </c>
      <c r="AA466" s="147">
        <v>6012220601</v>
      </c>
      <c r="AB466" s="160" t="s">
        <v>1151</v>
      </c>
      <c r="AC466" s="62"/>
      <c r="AD466" s="14"/>
      <c r="AE466" s="62">
        <v>68466667</v>
      </c>
      <c r="AF466" s="14"/>
      <c r="AG466" s="62"/>
      <c r="AH466" s="14">
        <v>3600000</v>
      </c>
      <c r="AI466" s="14"/>
      <c r="AJ466" s="14">
        <v>6000000</v>
      </c>
      <c r="AK466" s="14"/>
      <c r="AL466" s="14">
        <f>6000000+ 495675</f>
        <v>6495675</v>
      </c>
      <c r="AM466" s="14"/>
      <c r="AN466" s="14">
        <v>6000000</v>
      </c>
      <c r="AO466" s="14"/>
      <c r="AP466" s="14">
        <v>6000000</v>
      </c>
      <c r="AQ466" s="14"/>
      <c r="AR466" s="14">
        <v>6000000</v>
      </c>
      <c r="AS466" s="14"/>
      <c r="AT466" s="14">
        <v>6000000</v>
      </c>
      <c r="AU466" s="31"/>
      <c r="AV466" s="31">
        <v>6000000</v>
      </c>
      <c r="AW466" s="31"/>
      <c r="AX466" s="31">
        <v>6000000</v>
      </c>
      <c r="AY466" s="31"/>
      <c r="AZ466" s="31">
        <v>12000000</v>
      </c>
      <c r="BA466" s="33"/>
      <c r="BB466" s="33">
        <v>4370992</v>
      </c>
      <c r="BC466" s="18">
        <f t="shared" si="251"/>
        <v>68466667</v>
      </c>
      <c r="BD466" s="18">
        <f t="shared" si="252"/>
        <v>68466667</v>
      </c>
      <c r="BE466" s="19">
        <f t="shared" si="253"/>
        <v>0</v>
      </c>
      <c r="BF466" s="20">
        <f t="shared" si="254"/>
        <v>0</v>
      </c>
      <c r="BG466" s="20">
        <f t="shared" si="255"/>
        <v>0</v>
      </c>
    </row>
    <row r="467" spans="1:59" ht="14.25" customHeight="1">
      <c r="A467" s="147" t="s">
        <v>59</v>
      </c>
      <c r="B467" s="147" t="s">
        <v>1142</v>
      </c>
      <c r="C467" s="151" t="s">
        <v>1143</v>
      </c>
      <c r="D467" s="151" t="s">
        <v>62</v>
      </c>
      <c r="E467" s="151">
        <v>8</v>
      </c>
      <c r="F467" s="149" t="s">
        <v>1261</v>
      </c>
      <c r="G467" s="147" t="s">
        <v>1174</v>
      </c>
      <c r="H467" s="147" t="s">
        <v>1175</v>
      </c>
      <c r="I467" s="147" t="s">
        <v>1176</v>
      </c>
      <c r="J467" s="164">
        <v>80111620</v>
      </c>
      <c r="K467" s="147" t="s">
        <v>1177</v>
      </c>
      <c r="L467" s="147" t="s">
        <v>83</v>
      </c>
      <c r="M467" s="147" t="s">
        <v>1262</v>
      </c>
      <c r="N467" s="147" t="s">
        <v>86</v>
      </c>
      <c r="O467" s="147" t="s">
        <v>86</v>
      </c>
      <c r="P467" s="200" t="s">
        <v>86</v>
      </c>
      <c r="Q467" s="147">
        <v>5</v>
      </c>
      <c r="R467" s="147" t="s">
        <v>72</v>
      </c>
      <c r="S467" s="147" t="s">
        <v>73</v>
      </c>
      <c r="T467" s="147" t="s">
        <v>74</v>
      </c>
      <c r="U467" s="148">
        <v>20664606</v>
      </c>
      <c r="V467" s="148">
        <v>20664606</v>
      </c>
      <c r="W467" s="147" t="s">
        <v>75</v>
      </c>
      <c r="X467" s="147" t="s">
        <v>67</v>
      </c>
      <c r="Y467" s="147" t="s">
        <v>1149</v>
      </c>
      <c r="Z467" s="147" t="s">
        <v>1150</v>
      </c>
      <c r="AA467" s="147">
        <v>6012220601</v>
      </c>
      <c r="AB467" s="160" t="s">
        <v>1151</v>
      </c>
      <c r="AC467" s="62"/>
      <c r="AD467" s="14"/>
      <c r="AE467" s="62"/>
      <c r="AF467" s="14"/>
      <c r="AG467" s="62">
        <v>20664606</v>
      </c>
      <c r="AH467" s="14"/>
      <c r="AI467" s="14"/>
      <c r="AJ467" s="14"/>
      <c r="AK467" s="14"/>
      <c r="AL467" s="14">
        <v>3794700</v>
      </c>
      <c r="AM467" s="14"/>
      <c r="AN467" s="14">
        <f>3794700+ 826125</f>
        <v>4620825</v>
      </c>
      <c r="AO467" s="14"/>
      <c r="AP467" s="14">
        <v>3794700</v>
      </c>
      <c r="AQ467" s="14"/>
      <c r="AR467" s="14">
        <v>3794700</v>
      </c>
      <c r="AS467" s="14"/>
      <c r="AT467" s="14"/>
      <c r="AU467" s="79"/>
      <c r="AV467" s="31"/>
      <c r="AW467" s="79"/>
      <c r="AX467" s="31">
        <v>4659681</v>
      </c>
      <c r="AY467" s="79"/>
      <c r="AZ467" s="79"/>
      <c r="BA467" s="17"/>
      <c r="BB467" s="17"/>
      <c r="BC467" s="18">
        <f t="shared" si="251"/>
        <v>20664606</v>
      </c>
      <c r="BD467" s="18">
        <f t="shared" si="252"/>
        <v>20664606</v>
      </c>
      <c r="BE467" s="19">
        <f t="shared" si="253"/>
        <v>0</v>
      </c>
      <c r="BF467" s="20">
        <f t="shared" si="254"/>
        <v>0</v>
      </c>
      <c r="BG467" s="20">
        <f t="shared" si="255"/>
        <v>0</v>
      </c>
    </row>
    <row r="468" spans="1:59" ht="14.25" customHeight="1">
      <c r="A468" s="147" t="s">
        <v>59</v>
      </c>
      <c r="B468" s="147" t="s">
        <v>1142</v>
      </c>
      <c r="C468" s="151" t="s">
        <v>1143</v>
      </c>
      <c r="D468" s="151" t="s">
        <v>62</v>
      </c>
      <c r="E468" s="151" t="s">
        <v>114</v>
      </c>
      <c r="F468" s="149" t="s">
        <v>1263</v>
      </c>
      <c r="G468" s="147" t="s">
        <v>1174</v>
      </c>
      <c r="H468" s="147" t="s">
        <v>1175</v>
      </c>
      <c r="I468" s="147" t="s">
        <v>1176</v>
      </c>
      <c r="J468" s="164">
        <v>80111620</v>
      </c>
      <c r="K468" s="147" t="s">
        <v>1177</v>
      </c>
      <c r="L468" s="149" t="s">
        <v>83</v>
      </c>
      <c r="M468" s="147" t="s">
        <v>1264</v>
      </c>
      <c r="N468" s="147" t="s">
        <v>91</v>
      </c>
      <c r="O468" s="147" t="s">
        <v>91</v>
      </c>
      <c r="P468" s="200" t="s">
        <v>91</v>
      </c>
      <c r="Q468" s="149">
        <v>11.5</v>
      </c>
      <c r="R468" s="147" t="s">
        <v>72</v>
      </c>
      <c r="S468" s="147" t="s">
        <v>73</v>
      </c>
      <c r="T468" s="147" t="s">
        <v>74</v>
      </c>
      <c r="U468" s="148">
        <v>150000000</v>
      </c>
      <c r="V468" s="177">
        <v>150000000</v>
      </c>
      <c r="W468" s="147" t="s">
        <v>75</v>
      </c>
      <c r="X468" s="147" t="s">
        <v>67</v>
      </c>
      <c r="Y468" s="147" t="s">
        <v>1149</v>
      </c>
      <c r="Z468" s="147" t="s">
        <v>1150</v>
      </c>
      <c r="AA468" s="147">
        <v>6012220601</v>
      </c>
      <c r="AB468" s="160" t="s">
        <v>1151</v>
      </c>
      <c r="AC468" s="62">
        <v>150000000</v>
      </c>
      <c r="AD468" s="14"/>
      <c r="AE468" s="62"/>
      <c r="AF468" s="14">
        <v>8400000</v>
      </c>
      <c r="AG468" s="62"/>
      <c r="AH468" s="14">
        <f>12000000+ 764674</f>
        <v>12764674</v>
      </c>
      <c r="AI468" s="14"/>
      <c r="AJ468" s="14">
        <v>12000000</v>
      </c>
      <c r="AK468" s="14"/>
      <c r="AL468" s="14">
        <v>12000000</v>
      </c>
      <c r="AM468" s="14"/>
      <c r="AN468" s="14">
        <f>12000000 +879838</f>
        <v>12879838</v>
      </c>
      <c r="AO468" s="14"/>
      <c r="AP468" s="14">
        <v>12000000</v>
      </c>
      <c r="AQ468" s="14"/>
      <c r="AR468" s="14">
        <v>12000000</v>
      </c>
      <c r="AS468" s="14"/>
      <c r="AT468" s="14">
        <v>12000000</v>
      </c>
      <c r="AU468" s="78"/>
      <c r="AV468" s="31">
        <v>12000000</v>
      </c>
      <c r="AW468" s="78"/>
      <c r="AX468" s="31">
        <v>12000000</v>
      </c>
      <c r="AY468" s="78"/>
      <c r="AZ468" s="31">
        <v>24000000</v>
      </c>
      <c r="BA468" s="17"/>
      <c r="BB468" s="33">
        <v>7955488</v>
      </c>
      <c r="BC468" s="18">
        <f t="shared" si="251"/>
        <v>150000000</v>
      </c>
      <c r="BD468" s="18">
        <f t="shared" si="252"/>
        <v>150000000</v>
      </c>
      <c r="BE468" s="19">
        <f t="shared" si="253"/>
        <v>0</v>
      </c>
      <c r="BF468" s="20">
        <f t="shared" si="254"/>
        <v>0</v>
      </c>
      <c r="BG468" s="20">
        <f t="shared" si="255"/>
        <v>0</v>
      </c>
    </row>
    <row r="469" spans="1:59" ht="14.25" customHeight="1">
      <c r="A469" s="147" t="s">
        <v>59</v>
      </c>
      <c r="B469" s="147" t="s">
        <v>1142</v>
      </c>
      <c r="C469" s="151" t="s">
        <v>1143</v>
      </c>
      <c r="D469" s="151" t="s">
        <v>62</v>
      </c>
      <c r="E469" s="151" t="s">
        <v>114</v>
      </c>
      <c r="F469" s="165" t="s">
        <v>1265</v>
      </c>
      <c r="G469" s="147" t="s">
        <v>1174</v>
      </c>
      <c r="H469" s="147" t="s">
        <v>1175</v>
      </c>
      <c r="I469" s="147" t="s">
        <v>1176</v>
      </c>
      <c r="J469" s="164">
        <v>80111620</v>
      </c>
      <c r="K469" s="147" t="s">
        <v>1177</v>
      </c>
      <c r="L469" s="147" t="s">
        <v>83</v>
      </c>
      <c r="M469" s="147" t="s">
        <v>1266</v>
      </c>
      <c r="N469" s="147" t="s">
        <v>91</v>
      </c>
      <c r="O469" s="147" t="s">
        <v>91</v>
      </c>
      <c r="P469" s="200" t="s">
        <v>91</v>
      </c>
      <c r="Q469" s="147">
        <v>11.5</v>
      </c>
      <c r="R469" s="147" t="s">
        <v>72</v>
      </c>
      <c r="S469" s="147" t="s">
        <v>73</v>
      </c>
      <c r="T469" s="147" t="s">
        <v>74</v>
      </c>
      <c r="U469" s="189">
        <v>26000000</v>
      </c>
      <c r="V469" s="177">
        <v>26000000</v>
      </c>
      <c r="W469" s="147" t="s">
        <v>75</v>
      </c>
      <c r="X469" s="147" t="s">
        <v>67</v>
      </c>
      <c r="Y469" s="147" t="s">
        <v>1149</v>
      </c>
      <c r="Z469" s="147" t="s">
        <v>1150</v>
      </c>
      <c r="AA469" s="147">
        <v>6012220601</v>
      </c>
      <c r="AB469" s="160" t="s">
        <v>1151</v>
      </c>
      <c r="AC469" s="62">
        <v>26000000</v>
      </c>
      <c r="AD469" s="14"/>
      <c r="AE469" s="62">
        <v>-1066667</v>
      </c>
      <c r="AF469" s="14"/>
      <c r="AG469" s="62"/>
      <c r="AH469" s="14"/>
      <c r="AI469" s="14"/>
      <c r="AJ469" s="14"/>
      <c r="AK469" s="14"/>
      <c r="AL469" s="14"/>
      <c r="AM469" s="14"/>
      <c r="AN469" s="14"/>
      <c r="AO469" s="14"/>
      <c r="AP469" s="14"/>
      <c r="AQ469" s="14"/>
      <c r="AR469" s="14"/>
      <c r="AS469" s="14"/>
      <c r="AT469" s="14"/>
      <c r="AU469" s="28"/>
      <c r="AV469" s="31">
        <v>933333</v>
      </c>
      <c r="AW469" s="78"/>
      <c r="AX469" s="31">
        <v>8000000</v>
      </c>
      <c r="AY469" s="78"/>
      <c r="AZ469" s="31">
        <v>16000000</v>
      </c>
      <c r="BA469" s="33">
        <v>1066667</v>
      </c>
      <c r="BB469" s="33">
        <v>1066667</v>
      </c>
      <c r="BC469" s="18">
        <f t="shared" si="251"/>
        <v>26000000</v>
      </c>
      <c r="BD469" s="18">
        <f t="shared" si="252"/>
        <v>26000000</v>
      </c>
      <c r="BE469" s="19">
        <f t="shared" si="253"/>
        <v>0</v>
      </c>
      <c r="BF469" s="20">
        <f t="shared" si="254"/>
        <v>0</v>
      </c>
      <c r="BG469" s="20">
        <f t="shared" si="255"/>
        <v>0</v>
      </c>
    </row>
    <row r="470" spans="1:59" ht="14.25" customHeight="1">
      <c r="A470" s="147" t="s">
        <v>59</v>
      </c>
      <c r="B470" s="147" t="s">
        <v>1142</v>
      </c>
      <c r="C470" s="151" t="s">
        <v>1143</v>
      </c>
      <c r="D470" s="151" t="s">
        <v>62</v>
      </c>
      <c r="E470" s="151">
        <v>46</v>
      </c>
      <c r="F470" s="149" t="s">
        <v>1267</v>
      </c>
      <c r="G470" s="147" t="s">
        <v>1174</v>
      </c>
      <c r="H470" s="147" t="s">
        <v>1175</v>
      </c>
      <c r="I470" s="147" t="s">
        <v>1176</v>
      </c>
      <c r="J470" s="164">
        <v>80111620</v>
      </c>
      <c r="K470" s="147" t="s">
        <v>1177</v>
      </c>
      <c r="L470" s="147" t="s">
        <v>83</v>
      </c>
      <c r="M470" s="147" t="s">
        <v>1268</v>
      </c>
      <c r="N470" s="147" t="s">
        <v>142</v>
      </c>
      <c r="O470" s="147" t="s">
        <v>142</v>
      </c>
      <c r="P470" s="200" t="s">
        <v>142</v>
      </c>
      <c r="Q470" s="147">
        <v>4.5</v>
      </c>
      <c r="R470" s="147" t="s">
        <v>72</v>
      </c>
      <c r="S470" s="147" t="s">
        <v>73</v>
      </c>
      <c r="T470" s="147" t="s">
        <v>74</v>
      </c>
      <c r="U470" s="148">
        <v>13141800</v>
      </c>
      <c r="V470" s="148">
        <v>13141800</v>
      </c>
      <c r="W470" s="147" t="s">
        <v>75</v>
      </c>
      <c r="X470" s="147" t="s">
        <v>67</v>
      </c>
      <c r="Y470" s="147" t="s">
        <v>1149</v>
      </c>
      <c r="Z470" s="147" t="s">
        <v>1150</v>
      </c>
      <c r="AA470" s="147">
        <v>6012220601</v>
      </c>
      <c r="AB470" s="160" t="s">
        <v>1151</v>
      </c>
      <c r="AC470" s="62"/>
      <c r="AD470" s="14"/>
      <c r="AE470" s="62"/>
      <c r="AF470" s="14"/>
      <c r="AG470" s="62"/>
      <c r="AH470" s="14"/>
      <c r="AI470" s="14"/>
      <c r="AJ470" s="14"/>
      <c r="AK470" s="14"/>
      <c r="AL470" s="14"/>
      <c r="AM470" s="14"/>
      <c r="AN470" s="14"/>
      <c r="AO470" s="14"/>
      <c r="AP470" s="14"/>
      <c r="AQ470" s="14"/>
      <c r="AR470" s="14"/>
      <c r="AS470" s="14">
        <v>13141800</v>
      </c>
      <c r="AT470" s="14"/>
      <c r="AU470" s="28"/>
      <c r="AV470" s="28">
        <v>3285450</v>
      </c>
      <c r="AW470" s="28"/>
      <c r="AX470" s="28">
        <v>3285450</v>
      </c>
      <c r="AY470" s="28"/>
      <c r="AZ470" s="28">
        <v>6570900</v>
      </c>
      <c r="BA470" s="17"/>
      <c r="BB470" s="17"/>
      <c r="BC470" s="18">
        <f t="shared" si="251"/>
        <v>13141800</v>
      </c>
      <c r="BD470" s="18">
        <f t="shared" si="252"/>
        <v>13141800</v>
      </c>
      <c r="BE470" s="19">
        <f t="shared" si="253"/>
        <v>0</v>
      </c>
      <c r="BF470" s="20">
        <f t="shared" si="254"/>
        <v>0</v>
      </c>
      <c r="BG470" s="20">
        <f t="shared" si="255"/>
        <v>0</v>
      </c>
    </row>
    <row r="471" spans="1:59" ht="14.25" customHeight="1">
      <c r="A471" s="147" t="s">
        <v>59</v>
      </c>
      <c r="B471" s="147" t="s">
        <v>1142</v>
      </c>
      <c r="C471" s="151" t="s">
        <v>1143</v>
      </c>
      <c r="D471" s="151" t="s">
        <v>62</v>
      </c>
      <c r="E471" s="166">
        <v>33</v>
      </c>
      <c r="F471" s="149" t="s">
        <v>1269</v>
      </c>
      <c r="G471" s="147" t="s">
        <v>1174</v>
      </c>
      <c r="H471" s="147" t="s">
        <v>1175</v>
      </c>
      <c r="I471" s="147" t="s">
        <v>1176</v>
      </c>
      <c r="J471" s="164">
        <v>82111801</v>
      </c>
      <c r="K471" s="147" t="s">
        <v>1177</v>
      </c>
      <c r="L471" s="147" t="s">
        <v>1270</v>
      </c>
      <c r="M471" s="147" t="s">
        <v>1271</v>
      </c>
      <c r="N471" s="147" t="s">
        <v>127</v>
      </c>
      <c r="O471" s="147" t="s">
        <v>127</v>
      </c>
      <c r="P471" s="200" t="s">
        <v>128</v>
      </c>
      <c r="Q471" s="147">
        <v>6</v>
      </c>
      <c r="R471" s="147" t="s">
        <v>72</v>
      </c>
      <c r="S471" s="147" t="s">
        <v>222</v>
      </c>
      <c r="T471" s="147" t="s">
        <v>74</v>
      </c>
      <c r="U471" s="148">
        <v>0</v>
      </c>
      <c r="V471" s="148">
        <v>0</v>
      </c>
      <c r="W471" s="147" t="s">
        <v>75</v>
      </c>
      <c r="X471" s="147" t="s">
        <v>67</v>
      </c>
      <c r="Y471" s="147" t="s">
        <v>1149</v>
      </c>
      <c r="Z471" s="147" t="s">
        <v>1150</v>
      </c>
      <c r="AA471" s="147">
        <v>6012220601</v>
      </c>
      <c r="AB471" s="160" t="s">
        <v>1151</v>
      </c>
      <c r="AC471" s="62"/>
      <c r="AD471" s="14"/>
      <c r="AE471" s="62"/>
      <c r="AF471" s="14"/>
      <c r="AG471" s="62"/>
      <c r="AH471" s="14"/>
      <c r="AI471" s="14"/>
      <c r="AJ471" s="14"/>
      <c r="AK471" s="14"/>
      <c r="AL471" s="14"/>
      <c r="AM471" s="14"/>
      <c r="AN471" s="14"/>
      <c r="AO471" s="14"/>
      <c r="AP471" s="14"/>
      <c r="AQ471" s="14"/>
      <c r="AR471" s="14"/>
      <c r="AS471" s="14"/>
      <c r="AT471" s="14"/>
      <c r="AU471" s="90"/>
      <c r="AV471" s="90"/>
      <c r="AW471" s="90"/>
      <c r="AX471" s="90"/>
      <c r="AY471" s="90"/>
      <c r="AZ471" s="90"/>
      <c r="BA471" s="17"/>
      <c r="BB471" s="17"/>
      <c r="BC471" s="18">
        <f t="shared" si="251"/>
        <v>0</v>
      </c>
      <c r="BD471" s="18">
        <f t="shared" si="252"/>
        <v>0</v>
      </c>
      <c r="BE471" s="19">
        <f t="shared" si="253"/>
        <v>0</v>
      </c>
      <c r="BF471" s="20">
        <f t="shared" si="254"/>
        <v>0</v>
      </c>
      <c r="BG471" s="20">
        <f t="shared" si="255"/>
        <v>0</v>
      </c>
    </row>
    <row r="472" spans="1:59" ht="14.25" customHeight="1">
      <c r="A472" s="147" t="s">
        <v>59</v>
      </c>
      <c r="B472" s="147" t="s">
        <v>1142</v>
      </c>
      <c r="C472" s="151" t="s">
        <v>1143</v>
      </c>
      <c r="D472" s="151" t="s">
        <v>62</v>
      </c>
      <c r="E472" s="151">
        <v>46</v>
      </c>
      <c r="F472" s="149" t="s">
        <v>1272</v>
      </c>
      <c r="G472" s="147" t="s">
        <v>1174</v>
      </c>
      <c r="H472" s="149" t="s">
        <v>1175</v>
      </c>
      <c r="I472" s="147" t="s">
        <v>1176</v>
      </c>
      <c r="J472" s="164">
        <v>80111620</v>
      </c>
      <c r="K472" s="147" t="s">
        <v>1177</v>
      </c>
      <c r="L472" s="147" t="s">
        <v>83</v>
      </c>
      <c r="M472" s="149" t="s">
        <v>1273</v>
      </c>
      <c r="N472" s="147" t="s">
        <v>86</v>
      </c>
      <c r="O472" s="147" t="s">
        <v>86</v>
      </c>
      <c r="P472" s="200" t="s">
        <v>99</v>
      </c>
      <c r="Q472" s="147">
        <v>7</v>
      </c>
      <c r="R472" s="147" t="s">
        <v>72</v>
      </c>
      <c r="S472" s="149" t="s">
        <v>73</v>
      </c>
      <c r="T472" s="147" t="s">
        <v>74</v>
      </c>
      <c r="U472" s="148">
        <v>36212734</v>
      </c>
      <c r="V472" s="148">
        <v>36212734</v>
      </c>
      <c r="W472" s="147" t="s">
        <v>75</v>
      </c>
      <c r="X472" s="147" t="s">
        <v>67</v>
      </c>
      <c r="Y472" s="147" t="s">
        <v>1149</v>
      </c>
      <c r="Z472" s="147" t="s">
        <v>1150</v>
      </c>
      <c r="AA472" s="147">
        <v>6012220601</v>
      </c>
      <c r="AB472" s="160" t="s">
        <v>1151</v>
      </c>
      <c r="AC472" s="62"/>
      <c r="AD472" s="14"/>
      <c r="AE472" s="62"/>
      <c r="AF472" s="14"/>
      <c r="AG472" s="62"/>
      <c r="AH472" s="14"/>
      <c r="AI472" s="14">
        <v>36212734</v>
      </c>
      <c r="AJ472" s="14"/>
      <c r="AK472" s="14"/>
      <c r="AL472" s="14">
        <v>4678200</v>
      </c>
      <c r="AM472" s="14"/>
      <c r="AN472" s="14">
        <v>5198000</v>
      </c>
      <c r="AO472" s="14"/>
      <c r="AP472" s="14">
        <v>5198000</v>
      </c>
      <c r="AQ472" s="14"/>
      <c r="AR472" s="14">
        <v>5198000</v>
      </c>
      <c r="AS472" s="14"/>
      <c r="AT472" s="14">
        <v>5198000</v>
      </c>
      <c r="AU472" s="91"/>
      <c r="AV472" s="31">
        <v>5198000</v>
      </c>
      <c r="AW472" s="92"/>
      <c r="AX472" s="31">
        <v>5544534</v>
      </c>
      <c r="AY472" s="92"/>
      <c r="AZ472" s="31"/>
      <c r="BA472" s="17"/>
      <c r="BB472" s="17"/>
      <c r="BC472" s="18">
        <f t="shared" si="251"/>
        <v>36212734</v>
      </c>
      <c r="BD472" s="18">
        <f t="shared" si="252"/>
        <v>36212734</v>
      </c>
      <c r="BE472" s="19">
        <f t="shared" si="253"/>
        <v>0</v>
      </c>
      <c r="BF472" s="20">
        <f t="shared" si="254"/>
        <v>0</v>
      </c>
      <c r="BG472" s="20">
        <f t="shared" si="255"/>
        <v>0</v>
      </c>
    </row>
    <row r="473" spans="1:59" ht="14.25" customHeight="1">
      <c r="A473" s="147" t="s">
        <v>59</v>
      </c>
      <c r="B473" s="147" t="s">
        <v>1142</v>
      </c>
      <c r="C473" s="151" t="s">
        <v>1143</v>
      </c>
      <c r="D473" s="151" t="s">
        <v>62</v>
      </c>
      <c r="E473" s="151">
        <v>8</v>
      </c>
      <c r="F473" s="165" t="s">
        <v>1274</v>
      </c>
      <c r="G473" s="147" t="s">
        <v>1174</v>
      </c>
      <c r="H473" s="147" t="s">
        <v>1175</v>
      </c>
      <c r="I473" s="147" t="s">
        <v>1176</v>
      </c>
      <c r="J473" s="164">
        <v>80111620</v>
      </c>
      <c r="K473" s="147" t="s">
        <v>1177</v>
      </c>
      <c r="L473" s="147" t="s">
        <v>83</v>
      </c>
      <c r="M473" s="147" t="s">
        <v>1275</v>
      </c>
      <c r="N473" s="147" t="s">
        <v>85</v>
      </c>
      <c r="O473" s="147" t="s">
        <v>85</v>
      </c>
      <c r="P473" s="200" t="s">
        <v>86</v>
      </c>
      <c r="Q473" s="147">
        <v>10.199999999999999</v>
      </c>
      <c r="R473" s="147" t="s">
        <v>72</v>
      </c>
      <c r="S473" s="147" t="s">
        <v>73</v>
      </c>
      <c r="T473" s="147" t="s">
        <v>74</v>
      </c>
      <c r="U473" s="189">
        <v>77571800</v>
      </c>
      <c r="V473" s="148">
        <v>77571800</v>
      </c>
      <c r="W473" s="147" t="s">
        <v>75</v>
      </c>
      <c r="X473" s="147" t="s">
        <v>67</v>
      </c>
      <c r="Y473" s="147" t="s">
        <v>1149</v>
      </c>
      <c r="Z473" s="147" t="s">
        <v>1150</v>
      </c>
      <c r="AA473" s="147">
        <v>6012220601</v>
      </c>
      <c r="AB473" s="160" t="s">
        <v>1151</v>
      </c>
      <c r="AC473" s="62"/>
      <c r="AD473" s="14"/>
      <c r="AE473" s="62"/>
      <c r="AF473" s="14"/>
      <c r="AG473" s="62">
        <v>77571800</v>
      </c>
      <c r="AH473" s="14"/>
      <c r="AI473" s="14"/>
      <c r="AJ473" s="14">
        <v>4250000</v>
      </c>
      <c r="AK473" s="14">
        <v>-3250000</v>
      </c>
      <c r="AL473" s="14">
        <v>7500000</v>
      </c>
      <c r="AM473" s="14"/>
      <c r="AN473" s="14">
        <v>7500000</v>
      </c>
      <c r="AO473" s="14"/>
      <c r="AP473" s="14">
        <v>7500000</v>
      </c>
      <c r="AQ473" s="14"/>
      <c r="AR473" s="14">
        <v>7500000</v>
      </c>
      <c r="AS473" s="14"/>
      <c r="AT473" s="14">
        <v>7500000</v>
      </c>
      <c r="AU473" s="31"/>
      <c r="AV473" s="31">
        <v>7500000</v>
      </c>
      <c r="AW473" s="79"/>
      <c r="AX473" s="31">
        <v>7500000</v>
      </c>
      <c r="AY473" s="79"/>
      <c r="AZ473" s="31">
        <v>15000000</v>
      </c>
      <c r="BA473" s="33">
        <v>3250000</v>
      </c>
      <c r="BB473" s="33">
        <v>5821800</v>
      </c>
      <c r="BC473" s="18">
        <f t="shared" si="251"/>
        <v>77571800</v>
      </c>
      <c r="BD473" s="18">
        <f t="shared" si="252"/>
        <v>77571800</v>
      </c>
      <c r="BE473" s="19">
        <f t="shared" si="253"/>
        <v>0</v>
      </c>
      <c r="BF473" s="20">
        <f t="shared" si="254"/>
        <v>0</v>
      </c>
      <c r="BG473" s="20">
        <f t="shared" si="255"/>
        <v>0</v>
      </c>
    </row>
    <row r="474" spans="1:59" ht="14.25" customHeight="1">
      <c r="A474" s="147" t="s">
        <v>59</v>
      </c>
      <c r="B474" s="147" t="s">
        <v>1142</v>
      </c>
      <c r="C474" s="151" t="s">
        <v>1143</v>
      </c>
      <c r="D474" s="151" t="s">
        <v>62</v>
      </c>
      <c r="E474" s="151">
        <v>8</v>
      </c>
      <c r="F474" s="149" t="s">
        <v>1276</v>
      </c>
      <c r="G474" s="147" t="s">
        <v>1277</v>
      </c>
      <c r="H474" s="147" t="s">
        <v>1175</v>
      </c>
      <c r="I474" s="147" t="s">
        <v>1176</v>
      </c>
      <c r="J474" s="164">
        <v>80111620</v>
      </c>
      <c r="K474" s="147" t="s">
        <v>1177</v>
      </c>
      <c r="L474" s="147" t="s">
        <v>83</v>
      </c>
      <c r="M474" s="147" t="s">
        <v>1278</v>
      </c>
      <c r="N474" s="147" t="s">
        <v>85</v>
      </c>
      <c r="O474" s="147" t="s">
        <v>85</v>
      </c>
      <c r="P474" s="200" t="s">
        <v>86</v>
      </c>
      <c r="Q474" s="147">
        <v>7</v>
      </c>
      <c r="R474" s="147" t="s">
        <v>72</v>
      </c>
      <c r="S474" s="147" t="s">
        <v>73</v>
      </c>
      <c r="T474" s="147" t="s">
        <v>74</v>
      </c>
      <c r="U474" s="148">
        <v>88970000</v>
      </c>
      <c r="V474" s="148">
        <v>88970000</v>
      </c>
      <c r="W474" s="147" t="s">
        <v>75</v>
      </c>
      <c r="X474" s="147" t="s">
        <v>67</v>
      </c>
      <c r="Y474" s="147" t="s">
        <v>1149</v>
      </c>
      <c r="Z474" s="147" t="s">
        <v>1150</v>
      </c>
      <c r="AA474" s="147">
        <v>6012220601</v>
      </c>
      <c r="AB474" s="160" t="s">
        <v>1151</v>
      </c>
      <c r="AC474" s="62"/>
      <c r="AD474" s="14"/>
      <c r="AE474" s="62"/>
      <c r="AF474" s="14"/>
      <c r="AG474" s="62">
        <v>88970000</v>
      </c>
      <c r="AH474" s="14"/>
      <c r="AI474" s="14"/>
      <c r="AJ474" s="14">
        <v>5931333</v>
      </c>
      <c r="AK474" s="14"/>
      <c r="AL474" s="14">
        <v>8897000</v>
      </c>
      <c r="AM474" s="14"/>
      <c r="AN474" s="14">
        <v>8897000</v>
      </c>
      <c r="AO474" s="14"/>
      <c r="AP474" s="14">
        <v>8897000</v>
      </c>
      <c r="AQ474" s="14"/>
      <c r="AR474" s="14">
        <v>8897000</v>
      </c>
      <c r="AS474" s="14"/>
      <c r="AT474" s="14">
        <v>8897000</v>
      </c>
      <c r="AU474" s="92"/>
      <c r="AV474" s="14">
        <v>8897000</v>
      </c>
      <c r="AW474" s="92"/>
      <c r="AX474" s="14">
        <v>8897000</v>
      </c>
      <c r="AY474" s="92"/>
      <c r="AZ474" s="14">
        <v>17794000</v>
      </c>
      <c r="BA474" s="17"/>
      <c r="BB474" s="33">
        <v>2965667</v>
      </c>
      <c r="BC474" s="18">
        <f t="shared" si="251"/>
        <v>88970000</v>
      </c>
      <c r="BD474" s="18">
        <f t="shared" si="252"/>
        <v>88970000</v>
      </c>
      <c r="BE474" s="19">
        <f t="shared" si="253"/>
        <v>0</v>
      </c>
      <c r="BF474" s="20">
        <f t="shared" si="254"/>
        <v>0</v>
      </c>
      <c r="BG474" s="20">
        <f t="shared" si="255"/>
        <v>0</v>
      </c>
    </row>
    <row r="475" spans="1:59" ht="14.25" customHeight="1">
      <c r="A475" s="147" t="s">
        <v>59</v>
      </c>
      <c r="B475" s="147" t="s">
        <v>1142</v>
      </c>
      <c r="C475" s="151" t="s">
        <v>1143</v>
      </c>
      <c r="D475" s="151" t="s">
        <v>62</v>
      </c>
      <c r="E475" s="166">
        <v>33</v>
      </c>
      <c r="F475" s="149" t="s">
        <v>1279</v>
      </c>
      <c r="G475" s="147" t="s">
        <v>1277</v>
      </c>
      <c r="H475" s="147" t="s">
        <v>1175</v>
      </c>
      <c r="I475" s="147" t="s">
        <v>1176</v>
      </c>
      <c r="J475" s="164">
        <v>80111620</v>
      </c>
      <c r="K475" s="147" t="s">
        <v>1177</v>
      </c>
      <c r="L475" s="147" t="s">
        <v>83</v>
      </c>
      <c r="M475" s="147" t="s">
        <v>1280</v>
      </c>
      <c r="N475" s="147" t="s">
        <v>344</v>
      </c>
      <c r="O475" s="147" t="s">
        <v>142</v>
      </c>
      <c r="P475" s="200" t="s">
        <v>71</v>
      </c>
      <c r="Q475" s="147">
        <v>8</v>
      </c>
      <c r="R475" s="147" t="s">
        <v>72</v>
      </c>
      <c r="S475" s="147" t="s">
        <v>893</v>
      </c>
      <c r="T475" s="147" t="s">
        <v>74</v>
      </c>
      <c r="U475" s="148">
        <v>19113974</v>
      </c>
      <c r="V475" s="148">
        <v>19113974</v>
      </c>
      <c r="W475" s="147" t="s">
        <v>75</v>
      </c>
      <c r="X475" s="147" t="s">
        <v>67</v>
      </c>
      <c r="Y475" s="147" t="s">
        <v>1149</v>
      </c>
      <c r="Z475" s="147" t="s">
        <v>1150</v>
      </c>
      <c r="AA475" s="147">
        <v>6012220601</v>
      </c>
      <c r="AB475" s="160" t="s">
        <v>1151</v>
      </c>
      <c r="AC475" s="62"/>
      <c r="AD475" s="14"/>
      <c r="AE475" s="62"/>
      <c r="AF475" s="14"/>
      <c r="AG475" s="62"/>
      <c r="AH475" s="14"/>
      <c r="AI475" s="14"/>
      <c r="AJ475" s="14"/>
      <c r="AK475" s="14"/>
      <c r="AL475" s="14"/>
      <c r="AM475" s="14"/>
      <c r="AN475" s="14"/>
      <c r="AO475" s="14"/>
      <c r="AP475" s="14"/>
      <c r="AQ475" s="14"/>
      <c r="AR475" s="14"/>
      <c r="AS475" s="14"/>
      <c r="AT475" s="14"/>
      <c r="AU475" s="31">
        <v>17333333</v>
      </c>
      <c r="AV475" s="31"/>
      <c r="AW475" s="31"/>
      <c r="AX475" s="31">
        <v>4333333</v>
      </c>
      <c r="AY475" s="31"/>
      <c r="AZ475" s="31">
        <v>13000000</v>
      </c>
      <c r="BA475" s="33">
        <v>1780641</v>
      </c>
      <c r="BB475" s="33">
        <v>1780641</v>
      </c>
      <c r="BC475" s="18">
        <f t="shared" si="251"/>
        <v>19113974</v>
      </c>
      <c r="BD475" s="18">
        <f t="shared" si="252"/>
        <v>19113974</v>
      </c>
      <c r="BE475" s="19">
        <f t="shared" si="253"/>
        <v>0</v>
      </c>
      <c r="BF475" s="20">
        <f t="shared" si="254"/>
        <v>0</v>
      </c>
      <c r="BG475" s="20">
        <f t="shared" si="255"/>
        <v>0</v>
      </c>
    </row>
    <row r="476" spans="1:59" ht="14.25" customHeight="1">
      <c r="A476" s="147" t="s">
        <v>59</v>
      </c>
      <c r="B476" s="147" t="s">
        <v>1142</v>
      </c>
      <c r="C476" s="151" t="s">
        <v>1143</v>
      </c>
      <c r="D476" s="151" t="s">
        <v>62</v>
      </c>
      <c r="E476" s="151">
        <v>16</v>
      </c>
      <c r="F476" s="149" t="s">
        <v>1281</v>
      </c>
      <c r="G476" s="147" t="s">
        <v>1277</v>
      </c>
      <c r="H476" s="147" t="s">
        <v>1175</v>
      </c>
      <c r="I476" s="147" t="s">
        <v>1176</v>
      </c>
      <c r="J476" s="164">
        <v>43233501</v>
      </c>
      <c r="K476" s="147" t="s">
        <v>1177</v>
      </c>
      <c r="L476" s="147" t="s">
        <v>333</v>
      </c>
      <c r="M476" s="147" t="s">
        <v>1282</v>
      </c>
      <c r="N476" s="147" t="s">
        <v>344</v>
      </c>
      <c r="O476" s="147" t="s">
        <v>142</v>
      </c>
      <c r="P476" s="200" t="s">
        <v>71</v>
      </c>
      <c r="Q476" s="147">
        <v>12</v>
      </c>
      <c r="R476" s="147" t="s">
        <v>72</v>
      </c>
      <c r="S476" s="147" t="s">
        <v>143</v>
      </c>
      <c r="T476" s="147" t="s">
        <v>74</v>
      </c>
      <c r="U476" s="148">
        <v>24959146</v>
      </c>
      <c r="V476" s="148">
        <v>24959146</v>
      </c>
      <c r="W476" s="147" t="s">
        <v>75</v>
      </c>
      <c r="X476" s="147" t="s">
        <v>67</v>
      </c>
      <c r="Y476" s="147" t="s">
        <v>1149</v>
      </c>
      <c r="Z476" s="147" t="s">
        <v>1150</v>
      </c>
      <c r="AA476" s="147">
        <v>6012220601</v>
      </c>
      <c r="AB476" s="160" t="s">
        <v>1151</v>
      </c>
      <c r="AC476" s="62"/>
      <c r="AD476" s="14"/>
      <c r="AE476" s="62"/>
      <c r="AF476" s="14"/>
      <c r="AG476" s="62"/>
      <c r="AH476" s="14"/>
      <c r="AI476" s="14"/>
      <c r="AJ476" s="14"/>
      <c r="AK476" s="14"/>
      <c r="AL476" s="14"/>
      <c r="AM476" s="14"/>
      <c r="AN476" s="14"/>
      <c r="AO476" s="14"/>
      <c r="AP476" s="14"/>
      <c r="AQ476" s="14"/>
      <c r="AR476" s="14"/>
      <c r="AS476" s="14"/>
      <c r="AT476" s="14"/>
      <c r="AU476" s="31">
        <v>24959146</v>
      </c>
      <c r="AV476" s="31"/>
      <c r="AW476" s="31"/>
      <c r="AX476" s="31">
        <v>24959146</v>
      </c>
      <c r="AY476" s="31"/>
      <c r="AZ476" s="31"/>
      <c r="BA476" s="17"/>
      <c r="BB476" s="17"/>
      <c r="BC476" s="18">
        <f t="shared" si="251"/>
        <v>24959146</v>
      </c>
      <c r="BD476" s="18">
        <f t="shared" si="252"/>
        <v>24959146</v>
      </c>
      <c r="BE476" s="19">
        <f t="shared" si="253"/>
        <v>0</v>
      </c>
      <c r="BF476" s="20">
        <f t="shared" si="254"/>
        <v>0</v>
      </c>
      <c r="BG476" s="20">
        <f t="shared" si="255"/>
        <v>0</v>
      </c>
    </row>
    <row r="477" spans="1:59" ht="14.25" customHeight="1">
      <c r="A477" s="147" t="s">
        <v>59</v>
      </c>
      <c r="B477" s="147" t="s">
        <v>1142</v>
      </c>
      <c r="C477" s="151" t="s">
        <v>1143</v>
      </c>
      <c r="D477" s="151" t="s">
        <v>62</v>
      </c>
      <c r="E477" s="151">
        <v>32</v>
      </c>
      <c r="F477" s="149" t="s">
        <v>1283</v>
      </c>
      <c r="G477" s="147" t="s">
        <v>1145</v>
      </c>
      <c r="H477" s="147" t="s">
        <v>65</v>
      </c>
      <c r="I477" s="147" t="s">
        <v>1146</v>
      </c>
      <c r="J477" s="164">
        <v>80111620</v>
      </c>
      <c r="K477" s="147" t="s">
        <v>1147</v>
      </c>
      <c r="L477" s="147" t="s">
        <v>131</v>
      </c>
      <c r="M477" s="147" t="s">
        <v>1284</v>
      </c>
      <c r="N477" s="147" t="s">
        <v>344</v>
      </c>
      <c r="O477" s="147" t="s">
        <v>142</v>
      </c>
      <c r="P477" s="200" t="s">
        <v>71</v>
      </c>
      <c r="Q477" s="147">
        <v>4</v>
      </c>
      <c r="R477" s="147" t="s">
        <v>72</v>
      </c>
      <c r="S477" s="147" t="s">
        <v>73</v>
      </c>
      <c r="T477" s="147" t="s">
        <v>74</v>
      </c>
      <c r="U477" s="175">
        <v>25466000</v>
      </c>
      <c r="V477" s="148">
        <v>25466000</v>
      </c>
      <c r="W477" s="147" t="s">
        <v>75</v>
      </c>
      <c r="X477" s="147" t="s">
        <v>67</v>
      </c>
      <c r="Y477" s="147" t="s">
        <v>1149</v>
      </c>
      <c r="Z477" s="147" t="s">
        <v>1150</v>
      </c>
      <c r="AA477" s="147">
        <v>6012220601</v>
      </c>
      <c r="AB477" s="160" t="s">
        <v>1151</v>
      </c>
      <c r="AC477" s="62"/>
      <c r="AD477" s="14"/>
      <c r="AE477" s="62"/>
      <c r="AF477" s="14"/>
      <c r="AG477" s="62"/>
      <c r="AH477" s="14"/>
      <c r="AI477" s="14"/>
      <c r="AJ477" s="14"/>
      <c r="AK477" s="14"/>
      <c r="AL477" s="14"/>
      <c r="AM477" s="14"/>
      <c r="AN477" s="14"/>
      <c r="AO477" s="14"/>
      <c r="AP477" s="14"/>
      <c r="AQ477" s="14"/>
      <c r="AR477" s="14"/>
      <c r="AS477" s="14"/>
      <c r="AT477" s="14"/>
      <c r="AU477" s="31">
        <v>25466000</v>
      </c>
      <c r="AV477" s="31"/>
      <c r="AW477" s="31"/>
      <c r="AX477" s="88"/>
      <c r="AY477" s="31"/>
      <c r="AZ477" s="31">
        <v>25466000</v>
      </c>
      <c r="BA477" s="17"/>
      <c r="BB477" s="17"/>
      <c r="BC477" s="18">
        <f t="shared" si="251"/>
        <v>25466000</v>
      </c>
      <c r="BD477" s="18">
        <f t="shared" si="252"/>
        <v>25466000</v>
      </c>
      <c r="BE477" s="19">
        <f t="shared" si="253"/>
        <v>0</v>
      </c>
      <c r="BF477" s="20">
        <f t="shared" si="254"/>
        <v>0</v>
      </c>
      <c r="BG477" s="20">
        <f t="shared" si="255"/>
        <v>0</v>
      </c>
    </row>
    <row r="478" spans="1:59" ht="14.25" customHeight="1">
      <c r="A478" s="147" t="s">
        <v>59</v>
      </c>
      <c r="B478" s="147" t="s">
        <v>1142</v>
      </c>
      <c r="C478" s="151" t="s">
        <v>1143</v>
      </c>
      <c r="D478" s="151" t="s">
        <v>62</v>
      </c>
      <c r="E478" s="151">
        <v>31</v>
      </c>
      <c r="F478" s="149" t="s">
        <v>1285</v>
      </c>
      <c r="G478" s="147" t="s">
        <v>1145</v>
      </c>
      <c r="H478" s="147" t="s">
        <v>65</v>
      </c>
      <c r="I478" s="147" t="s">
        <v>1146</v>
      </c>
      <c r="J478" s="164">
        <v>80111620</v>
      </c>
      <c r="K478" s="147" t="s">
        <v>1147</v>
      </c>
      <c r="L478" s="147" t="s">
        <v>83</v>
      </c>
      <c r="M478" s="147" t="s">
        <v>1286</v>
      </c>
      <c r="N478" s="147" t="s">
        <v>100</v>
      </c>
      <c r="O478" s="147" t="s">
        <v>100</v>
      </c>
      <c r="P478" s="200" t="s">
        <v>100</v>
      </c>
      <c r="Q478" s="147">
        <v>5</v>
      </c>
      <c r="R478" s="147" t="s">
        <v>72</v>
      </c>
      <c r="S478" s="147" t="s">
        <v>156</v>
      </c>
      <c r="T478" s="147" t="s">
        <v>74</v>
      </c>
      <c r="U478" s="175">
        <v>41500000</v>
      </c>
      <c r="V478" s="148">
        <v>41500000</v>
      </c>
      <c r="W478" s="147" t="s">
        <v>75</v>
      </c>
      <c r="X478" s="147" t="s">
        <v>67</v>
      </c>
      <c r="Y478" s="147" t="s">
        <v>811</v>
      </c>
      <c r="Z478" s="147" t="s">
        <v>1150</v>
      </c>
      <c r="AA478" s="147">
        <v>6012220601</v>
      </c>
      <c r="AB478" s="160" t="s">
        <v>813</v>
      </c>
      <c r="AC478" s="62"/>
      <c r="AD478" s="14"/>
      <c r="AE478" s="62"/>
      <c r="AF478" s="14"/>
      <c r="AG478" s="62"/>
      <c r="AH478" s="14"/>
      <c r="AI478" s="14"/>
      <c r="AJ478" s="14"/>
      <c r="AK478" s="14"/>
      <c r="AL478" s="14"/>
      <c r="AM478" s="14"/>
      <c r="AN478" s="14"/>
      <c r="AO478" s="14">
        <v>41500000</v>
      </c>
      <c r="AP478" s="14"/>
      <c r="AQ478" s="14"/>
      <c r="AR478" s="14"/>
      <c r="AS478" s="14"/>
      <c r="AT478" s="14">
        <f>830000+ 8300000</f>
        <v>9130000</v>
      </c>
      <c r="AU478" s="31"/>
      <c r="AV478" s="14">
        <f>830000+ 8300000</f>
        <v>9130000</v>
      </c>
      <c r="AW478" s="31"/>
      <c r="AX478" s="14">
        <f>830000+ 8300000</f>
        <v>9130000</v>
      </c>
      <c r="AY478" s="31"/>
      <c r="AZ478" s="31">
        <v>14110000</v>
      </c>
      <c r="BA478" s="17"/>
      <c r="BB478" s="17"/>
      <c r="BC478" s="18">
        <f t="shared" si="251"/>
        <v>41500000</v>
      </c>
      <c r="BD478" s="18">
        <f t="shared" si="252"/>
        <v>41500000</v>
      </c>
      <c r="BE478" s="19">
        <f t="shared" si="253"/>
        <v>0</v>
      </c>
      <c r="BF478" s="20">
        <f t="shared" si="254"/>
        <v>0</v>
      </c>
      <c r="BG478" s="20">
        <f t="shared" si="255"/>
        <v>0</v>
      </c>
    </row>
    <row r="479" spans="1:59" ht="14.25" customHeight="1">
      <c r="A479" s="147" t="s">
        <v>59</v>
      </c>
      <c r="B479" s="147" t="s">
        <v>1142</v>
      </c>
      <c r="C479" s="151" t="s">
        <v>1143</v>
      </c>
      <c r="D479" s="151" t="s">
        <v>62</v>
      </c>
      <c r="E479" s="151">
        <v>38</v>
      </c>
      <c r="F479" s="149" t="s">
        <v>1287</v>
      </c>
      <c r="G479" s="147" t="s">
        <v>1277</v>
      </c>
      <c r="H479" s="147" t="s">
        <v>1175</v>
      </c>
      <c r="I479" s="147" t="s">
        <v>1176</v>
      </c>
      <c r="J479" s="164">
        <v>80111620</v>
      </c>
      <c r="K479" s="147" t="s">
        <v>1177</v>
      </c>
      <c r="L479" s="147" t="s">
        <v>83</v>
      </c>
      <c r="M479" s="147" t="s">
        <v>1288</v>
      </c>
      <c r="N479" s="147" t="s">
        <v>142</v>
      </c>
      <c r="O479" s="147" t="s">
        <v>142</v>
      </c>
      <c r="P479" s="200" t="s">
        <v>142</v>
      </c>
      <c r="Q479" s="147">
        <v>4.5</v>
      </c>
      <c r="R479" s="147" t="s">
        <v>72</v>
      </c>
      <c r="S479" s="147" t="s">
        <v>156</v>
      </c>
      <c r="T479" s="147" t="s">
        <v>74</v>
      </c>
      <c r="U479" s="148">
        <v>60053700</v>
      </c>
      <c r="V479" s="148">
        <v>60053700</v>
      </c>
      <c r="W479" s="147" t="s">
        <v>75</v>
      </c>
      <c r="X479" s="147" t="s">
        <v>67</v>
      </c>
      <c r="Y479" s="147" t="s">
        <v>1289</v>
      </c>
      <c r="Z479" s="147"/>
      <c r="AA479" s="147">
        <v>6012220601</v>
      </c>
      <c r="AB479" s="160" t="s">
        <v>1290</v>
      </c>
      <c r="AC479" s="62"/>
      <c r="AD479" s="14"/>
      <c r="AE479" s="62"/>
      <c r="AF479" s="14"/>
      <c r="AG479" s="62"/>
      <c r="AH479" s="14"/>
      <c r="AI479" s="14"/>
      <c r="AJ479" s="14"/>
      <c r="AK479" s="14"/>
      <c r="AL479" s="14"/>
      <c r="AM479" s="14"/>
      <c r="AN479" s="14"/>
      <c r="AO479" s="14"/>
      <c r="AP479" s="14"/>
      <c r="AQ479" s="14">
        <v>60053700</v>
      </c>
      <c r="AR479" s="14"/>
      <c r="AS479" s="14"/>
      <c r="AT479" s="14">
        <v>2267825</v>
      </c>
      <c r="AU479" s="31"/>
      <c r="AV479" s="31">
        <v>13606950</v>
      </c>
      <c r="AW479" s="31"/>
      <c r="AX479" s="31">
        <v>13606950</v>
      </c>
      <c r="AY479" s="31"/>
      <c r="AZ479" s="31">
        <v>27213900</v>
      </c>
      <c r="BA479" s="17"/>
      <c r="BB479" s="33">
        <v>3358075</v>
      </c>
      <c r="BC479" s="18">
        <f t="shared" si="251"/>
        <v>60053700</v>
      </c>
      <c r="BD479" s="18">
        <f t="shared" si="252"/>
        <v>60053700</v>
      </c>
      <c r="BE479" s="19">
        <f t="shared" si="253"/>
        <v>0</v>
      </c>
      <c r="BF479" s="20">
        <f t="shared" si="254"/>
        <v>0</v>
      </c>
      <c r="BG479" s="20">
        <f t="shared" si="255"/>
        <v>0</v>
      </c>
    </row>
    <row r="480" spans="1:59" ht="14.25" customHeight="1">
      <c r="A480" s="147" t="s">
        <v>59</v>
      </c>
      <c r="B480" s="147" t="s">
        <v>1142</v>
      </c>
      <c r="C480" s="151" t="s">
        <v>1143</v>
      </c>
      <c r="D480" s="151" t="s">
        <v>62</v>
      </c>
      <c r="E480" s="151">
        <v>42</v>
      </c>
      <c r="F480" s="149" t="s">
        <v>1291</v>
      </c>
      <c r="G480" s="147" t="s">
        <v>1145</v>
      </c>
      <c r="H480" s="147" t="s">
        <v>65</v>
      </c>
      <c r="I480" s="147" t="s">
        <v>1146</v>
      </c>
      <c r="J480" s="164">
        <v>80111620</v>
      </c>
      <c r="K480" s="147" t="s">
        <v>1147</v>
      </c>
      <c r="L480" s="147" t="s">
        <v>83</v>
      </c>
      <c r="M480" s="147" t="s">
        <v>1292</v>
      </c>
      <c r="N480" s="147" t="s">
        <v>71</v>
      </c>
      <c r="O480" s="147" t="s">
        <v>71</v>
      </c>
      <c r="P480" s="147" t="s">
        <v>71</v>
      </c>
      <c r="Q480" s="147">
        <v>3</v>
      </c>
      <c r="R480" s="147" t="s">
        <v>72</v>
      </c>
      <c r="S480" s="147" t="s">
        <v>156</v>
      </c>
      <c r="T480" s="147" t="s">
        <v>74</v>
      </c>
      <c r="U480" s="175">
        <v>28000000</v>
      </c>
      <c r="V480" s="148">
        <v>28000000</v>
      </c>
      <c r="W480" s="147" t="s">
        <v>75</v>
      </c>
      <c r="X480" s="147" t="s">
        <v>67</v>
      </c>
      <c r="Y480" s="147" t="s">
        <v>1289</v>
      </c>
      <c r="Z480" s="147"/>
      <c r="AA480" s="147">
        <v>6012220601</v>
      </c>
      <c r="AB480" s="160" t="s">
        <v>1290</v>
      </c>
      <c r="AC480" s="62"/>
      <c r="AD480" s="14"/>
      <c r="AE480" s="62"/>
      <c r="AF480" s="14"/>
      <c r="AG480" s="62"/>
      <c r="AH480" s="14"/>
      <c r="AI480" s="14"/>
      <c r="AJ480" s="14"/>
      <c r="AK480" s="14"/>
      <c r="AL480" s="14"/>
      <c r="AM480" s="14"/>
      <c r="AN480" s="14"/>
      <c r="AO480" s="14"/>
      <c r="AP480" s="14"/>
      <c r="AQ480" s="14"/>
      <c r="AR480" s="14"/>
      <c r="AS480" s="14"/>
      <c r="AT480" s="14"/>
      <c r="AU480" s="31">
        <v>28000000</v>
      </c>
      <c r="AV480" s="31"/>
      <c r="AW480" s="31"/>
      <c r="AX480" s="31">
        <v>9333333</v>
      </c>
      <c r="AY480" s="31"/>
      <c r="AZ480" s="31">
        <v>18666667</v>
      </c>
      <c r="BA480" s="17"/>
      <c r="BB480" s="17"/>
      <c r="BC480" s="18">
        <f t="shared" si="251"/>
        <v>28000000</v>
      </c>
      <c r="BD480" s="18">
        <f t="shared" si="252"/>
        <v>28000000</v>
      </c>
      <c r="BE480" s="19">
        <f t="shared" si="253"/>
        <v>0</v>
      </c>
      <c r="BF480" s="20">
        <f t="shared" si="254"/>
        <v>0</v>
      </c>
      <c r="BG480" s="20">
        <f t="shared" si="255"/>
        <v>0</v>
      </c>
    </row>
    <row r="481" spans="1:59" ht="14.25" customHeight="1">
      <c r="A481" s="147" t="s">
        <v>59</v>
      </c>
      <c r="B481" s="147" t="s">
        <v>1142</v>
      </c>
      <c r="C481" s="151" t="s">
        <v>1143</v>
      </c>
      <c r="D481" s="151" t="s">
        <v>62</v>
      </c>
      <c r="E481" s="151">
        <v>46</v>
      </c>
      <c r="F481" s="149" t="s">
        <v>1293</v>
      </c>
      <c r="G481" s="147" t="s">
        <v>1145</v>
      </c>
      <c r="H481" s="147" t="s">
        <v>65</v>
      </c>
      <c r="I481" s="165" t="s">
        <v>1214</v>
      </c>
      <c r="J481" s="164">
        <v>80111620</v>
      </c>
      <c r="K481" s="147" t="s">
        <v>1147</v>
      </c>
      <c r="L481" s="147" t="s">
        <v>83</v>
      </c>
      <c r="M481" s="147" t="s">
        <v>1294</v>
      </c>
      <c r="N481" s="147" t="s">
        <v>71</v>
      </c>
      <c r="O481" s="147" t="s">
        <v>71</v>
      </c>
      <c r="P481" s="147" t="s">
        <v>180</v>
      </c>
      <c r="Q481" s="147">
        <v>2</v>
      </c>
      <c r="R481" s="147" t="s">
        <v>72</v>
      </c>
      <c r="S481" s="147" t="s">
        <v>73</v>
      </c>
      <c r="T481" s="147" t="s">
        <v>74</v>
      </c>
      <c r="U481" s="175">
        <v>15416667</v>
      </c>
      <c r="V481" s="148">
        <v>15416667</v>
      </c>
      <c r="W481" s="147" t="s">
        <v>75</v>
      </c>
      <c r="X481" s="147" t="s">
        <v>67</v>
      </c>
      <c r="Y481" s="147" t="s">
        <v>1295</v>
      </c>
      <c r="Z481" s="147" t="s">
        <v>1150</v>
      </c>
      <c r="AA481" s="147">
        <v>6012220601</v>
      </c>
      <c r="AB481" s="160" t="s">
        <v>1296</v>
      </c>
      <c r="AC481" s="62"/>
      <c r="AD481" s="14"/>
      <c r="AE481" s="62"/>
      <c r="AF481" s="14"/>
      <c r="AG481" s="62"/>
      <c r="AH481" s="14"/>
      <c r="AI481" s="14"/>
      <c r="AJ481" s="14"/>
      <c r="AK481" s="14"/>
      <c r="AL481" s="14"/>
      <c r="AM481" s="14"/>
      <c r="AN481" s="14"/>
      <c r="AO481" s="14"/>
      <c r="AP481" s="14"/>
      <c r="AQ481" s="14"/>
      <c r="AR481" s="14"/>
      <c r="AS481" s="14"/>
      <c r="AT481" s="14"/>
      <c r="AU481" s="31">
        <v>15416667</v>
      </c>
      <c r="AV481" s="31"/>
      <c r="AW481" s="31"/>
      <c r="AX481" s="31">
        <v>2916667</v>
      </c>
      <c r="AY481" s="31"/>
      <c r="AZ481" s="31">
        <v>12500000</v>
      </c>
      <c r="BA481" s="17"/>
      <c r="BB481" s="17"/>
      <c r="BC481" s="18">
        <f t="shared" si="251"/>
        <v>15416667</v>
      </c>
      <c r="BD481" s="18">
        <f t="shared" si="252"/>
        <v>15416667</v>
      </c>
      <c r="BE481" s="19">
        <f t="shared" si="253"/>
        <v>0</v>
      </c>
      <c r="BF481" s="20">
        <f t="shared" si="254"/>
        <v>0</v>
      </c>
      <c r="BG481" s="20">
        <f t="shared" si="255"/>
        <v>0</v>
      </c>
    </row>
    <row r="482" spans="1:59" ht="14.25" customHeight="1">
      <c r="A482" s="147" t="s">
        <v>59</v>
      </c>
      <c r="B482" s="147" t="s">
        <v>1142</v>
      </c>
      <c r="C482" s="151" t="s">
        <v>1143</v>
      </c>
      <c r="D482" s="151" t="s">
        <v>62</v>
      </c>
      <c r="E482" s="151">
        <v>46</v>
      </c>
      <c r="F482" s="149" t="s">
        <v>1297</v>
      </c>
      <c r="G482" s="147" t="s">
        <v>1145</v>
      </c>
      <c r="H482" s="147" t="s">
        <v>65</v>
      </c>
      <c r="I482" s="165" t="s">
        <v>1214</v>
      </c>
      <c r="J482" s="164">
        <v>80111620</v>
      </c>
      <c r="K482" s="147" t="s">
        <v>1147</v>
      </c>
      <c r="L482" s="147" t="s">
        <v>83</v>
      </c>
      <c r="M482" s="147" t="s">
        <v>1298</v>
      </c>
      <c r="N482" s="147" t="s">
        <v>71</v>
      </c>
      <c r="O482" s="147" t="s">
        <v>71</v>
      </c>
      <c r="P482" s="147" t="s">
        <v>180</v>
      </c>
      <c r="Q482" s="147">
        <v>2</v>
      </c>
      <c r="R482" s="147" t="s">
        <v>72</v>
      </c>
      <c r="S482" s="147" t="s">
        <v>73</v>
      </c>
      <c r="T482" s="147" t="s">
        <v>74</v>
      </c>
      <c r="U482" s="175">
        <v>5087886</v>
      </c>
      <c r="V482" s="148">
        <v>5087886</v>
      </c>
      <c r="W482" s="147" t="s">
        <v>75</v>
      </c>
      <c r="X482" s="147" t="s">
        <v>67</v>
      </c>
      <c r="Y482" s="147" t="s">
        <v>1295</v>
      </c>
      <c r="Z482" s="147" t="s">
        <v>1150</v>
      </c>
      <c r="AA482" s="147">
        <v>6012220601</v>
      </c>
      <c r="AB482" s="160" t="s">
        <v>1296</v>
      </c>
      <c r="AC482" s="62"/>
      <c r="AD482" s="14"/>
      <c r="AE482" s="62"/>
      <c r="AF482" s="14"/>
      <c r="AG482" s="62"/>
      <c r="AH482" s="14"/>
      <c r="AI482" s="14"/>
      <c r="AJ482" s="14"/>
      <c r="AK482" s="14"/>
      <c r="AL482" s="14"/>
      <c r="AM482" s="14"/>
      <c r="AN482" s="14"/>
      <c r="AO482" s="14"/>
      <c r="AP482" s="14"/>
      <c r="AQ482" s="14"/>
      <c r="AR482" s="14"/>
      <c r="AS482" s="14"/>
      <c r="AT482" s="14"/>
      <c r="AU482" s="31">
        <v>5087886</v>
      </c>
      <c r="AV482" s="31"/>
      <c r="AW482" s="31"/>
      <c r="AX482" s="31">
        <v>2730000</v>
      </c>
      <c r="AY482" s="31"/>
      <c r="AZ482" s="31">
        <v>2357886</v>
      </c>
      <c r="BA482" s="17"/>
      <c r="BB482" s="17"/>
      <c r="BC482" s="18">
        <f t="shared" si="251"/>
        <v>5087886</v>
      </c>
      <c r="BD482" s="18">
        <f t="shared" si="252"/>
        <v>5087886</v>
      </c>
      <c r="BE482" s="19">
        <f t="shared" si="253"/>
        <v>0</v>
      </c>
      <c r="BF482" s="20">
        <f t="shared" si="254"/>
        <v>0</v>
      </c>
      <c r="BG482" s="20">
        <f t="shared" si="255"/>
        <v>0</v>
      </c>
    </row>
    <row r="483" spans="1:59" ht="14.25" customHeight="1">
      <c r="A483" s="147" t="s">
        <v>59</v>
      </c>
      <c r="B483" s="147" t="s">
        <v>1142</v>
      </c>
      <c r="C483" s="151" t="s">
        <v>1143</v>
      </c>
      <c r="D483" s="151" t="s">
        <v>62</v>
      </c>
      <c r="E483" s="151">
        <v>46</v>
      </c>
      <c r="F483" s="149" t="s">
        <v>1299</v>
      </c>
      <c r="G483" s="147" t="s">
        <v>1145</v>
      </c>
      <c r="H483" s="147" t="s">
        <v>65</v>
      </c>
      <c r="I483" s="204" t="s">
        <v>1214</v>
      </c>
      <c r="J483" s="164">
        <v>80111620</v>
      </c>
      <c r="K483" s="147" t="s">
        <v>1147</v>
      </c>
      <c r="L483" s="147" t="s">
        <v>83</v>
      </c>
      <c r="M483" s="147" t="s">
        <v>1300</v>
      </c>
      <c r="N483" s="147" t="s">
        <v>71</v>
      </c>
      <c r="O483" s="147" t="s">
        <v>71</v>
      </c>
      <c r="P483" s="147" t="s">
        <v>180</v>
      </c>
      <c r="Q483" s="147">
        <v>3</v>
      </c>
      <c r="R483" s="147" t="s">
        <v>72</v>
      </c>
      <c r="S483" s="147" t="s">
        <v>73</v>
      </c>
      <c r="T483" s="147" t="s">
        <v>74</v>
      </c>
      <c r="U483" s="175">
        <v>4176666</v>
      </c>
      <c r="V483" s="148">
        <v>4176666</v>
      </c>
      <c r="W483" s="147" t="s">
        <v>75</v>
      </c>
      <c r="X483" s="147" t="s">
        <v>67</v>
      </c>
      <c r="Y483" s="147" t="s">
        <v>1295</v>
      </c>
      <c r="Z483" s="147" t="s">
        <v>1150</v>
      </c>
      <c r="AA483" s="147">
        <v>6012220601</v>
      </c>
      <c r="AB483" s="160" t="s">
        <v>1296</v>
      </c>
      <c r="AC483" s="62"/>
      <c r="AD483" s="14"/>
      <c r="AE483" s="62"/>
      <c r="AF483" s="14"/>
      <c r="AG483" s="62"/>
      <c r="AH483" s="14"/>
      <c r="AI483" s="14"/>
      <c r="AJ483" s="14"/>
      <c r="AK483" s="14"/>
      <c r="AL483" s="14"/>
      <c r="AM483" s="14"/>
      <c r="AN483" s="14"/>
      <c r="AO483" s="14"/>
      <c r="AP483" s="14"/>
      <c r="AQ483" s="14"/>
      <c r="AR483" s="14"/>
      <c r="AS483" s="14"/>
      <c r="AT483" s="14"/>
      <c r="AU483" s="31">
        <v>4176666</v>
      </c>
      <c r="AV483" s="31"/>
      <c r="AW483" s="31"/>
      <c r="AX483" s="31"/>
      <c r="AY483" s="31"/>
      <c r="AZ483" s="31">
        <v>4176666</v>
      </c>
      <c r="BA483" s="17"/>
      <c r="BB483" s="17"/>
      <c r="BC483" s="18">
        <f t="shared" si="251"/>
        <v>4176666</v>
      </c>
      <c r="BD483" s="18">
        <f t="shared" si="252"/>
        <v>4176666</v>
      </c>
      <c r="BE483" s="19">
        <f t="shared" si="253"/>
        <v>0</v>
      </c>
      <c r="BF483" s="20">
        <f t="shared" si="254"/>
        <v>0</v>
      </c>
      <c r="BG483" s="20">
        <f t="shared" si="255"/>
        <v>0</v>
      </c>
    </row>
    <row r="484" spans="1:59" ht="14.25" customHeight="1">
      <c r="A484" s="147" t="s">
        <v>59</v>
      </c>
      <c r="B484" s="147" t="s">
        <v>1142</v>
      </c>
      <c r="C484" s="151" t="s">
        <v>1143</v>
      </c>
      <c r="D484" s="151" t="s">
        <v>62</v>
      </c>
      <c r="E484" s="151">
        <v>46</v>
      </c>
      <c r="F484" s="149" t="s">
        <v>1301</v>
      </c>
      <c r="G484" s="147" t="s">
        <v>1277</v>
      </c>
      <c r="H484" s="147" t="s">
        <v>1175</v>
      </c>
      <c r="I484" s="147" t="s">
        <v>1176</v>
      </c>
      <c r="J484" s="164">
        <v>80111620</v>
      </c>
      <c r="K484" s="147" t="s">
        <v>1177</v>
      </c>
      <c r="L484" s="147" t="s">
        <v>83</v>
      </c>
      <c r="M484" s="147" t="s">
        <v>1302</v>
      </c>
      <c r="N484" s="147" t="s">
        <v>71</v>
      </c>
      <c r="O484" s="147" t="s">
        <v>71</v>
      </c>
      <c r="P484" s="147" t="s">
        <v>180</v>
      </c>
      <c r="Q484" s="147">
        <v>3</v>
      </c>
      <c r="R484" s="147" t="s">
        <v>72</v>
      </c>
      <c r="S484" s="147" t="s">
        <v>73</v>
      </c>
      <c r="T484" s="147" t="s">
        <v>74</v>
      </c>
      <c r="U484" s="148">
        <v>5943311</v>
      </c>
      <c r="V484" s="148">
        <v>5943311</v>
      </c>
      <c r="W484" s="147" t="s">
        <v>75</v>
      </c>
      <c r="X484" s="147" t="s">
        <v>67</v>
      </c>
      <c r="Y484" s="147" t="s">
        <v>1295</v>
      </c>
      <c r="Z484" s="147" t="s">
        <v>1150</v>
      </c>
      <c r="AA484" s="147">
        <v>6012220601</v>
      </c>
      <c r="AB484" s="160" t="s">
        <v>1296</v>
      </c>
      <c r="AC484" s="62"/>
      <c r="AD484" s="14"/>
      <c r="AE484" s="62"/>
      <c r="AF484" s="14"/>
      <c r="AG484" s="62"/>
      <c r="AH484" s="14"/>
      <c r="AI484" s="14"/>
      <c r="AJ484" s="14"/>
      <c r="AK484" s="14"/>
      <c r="AL484" s="14"/>
      <c r="AM484" s="14"/>
      <c r="AN484" s="14"/>
      <c r="AO484" s="14"/>
      <c r="AP484" s="14"/>
      <c r="AQ484" s="14"/>
      <c r="AR484" s="14"/>
      <c r="AS484" s="14"/>
      <c r="AT484" s="14"/>
      <c r="AU484" s="31">
        <v>5943311</v>
      </c>
      <c r="AV484" s="31"/>
      <c r="AW484" s="31"/>
      <c r="AX484" s="31"/>
      <c r="AY484" s="31"/>
      <c r="AZ484" s="31">
        <v>5943311</v>
      </c>
      <c r="BA484" s="17"/>
      <c r="BB484" s="17"/>
      <c r="BC484" s="18">
        <f t="shared" si="251"/>
        <v>5943311</v>
      </c>
      <c r="BD484" s="18">
        <f t="shared" si="252"/>
        <v>5943311</v>
      </c>
      <c r="BE484" s="19">
        <f t="shared" si="253"/>
        <v>0</v>
      </c>
      <c r="BF484" s="20">
        <f t="shared" si="254"/>
        <v>0</v>
      </c>
      <c r="BG484" s="20">
        <f t="shared" si="255"/>
        <v>0</v>
      </c>
    </row>
    <row r="485" spans="1:59" ht="14.25" customHeight="1">
      <c r="A485" s="147" t="s">
        <v>59</v>
      </c>
      <c r="B485" s="147" t="s">
        <v>1142</v>
      </c>
      <c r="C485" s="151" t="s">
        <v>1143</v>
      </c>
      <c r="D485" s="151" t="s">
        <v>62</v>
      </c>
      <c r="E485" s="151">
        <v>46</v>
      </c>
      <c r="F485" s="149" t="s">
        <v>1303</v>
      </c>
      <c r="G485" s="147" t="s">
        <v>1277</v>
      </c>
      <c r="H485" s="147" t="s">
        <v>1175</v>
      </c>
      <c r="I485" s="147" t="s">
        <v>1176</v>
      </c>
      <c r="J485" s="164">
        <v>80111620</v>
      </c>
      <c r="K485" s="147" t="s">
        <v>1177</v>
      </c>
      <c r="L485" s="147" t="s">
        <v>83</v>
      </c>
      <c r="M485" s="147" t="s">
        <v>1304</v>
      </c>
      <c r="N485" s="147" t="s">
        <v>71</v>
      </c>
      <c r="O485" s="147" t="s">
        <v>71</v>
      </c>
      <c r="P485" s="147" t="s">
        <v>180</v>
      </c>
      <c r="Q485" s="147">
        <v>3</v>
      </c>
      <c r="R485" s="147" t="s">
        <v>72</v>
      </c>
      <c r="S485" s="147" t="s">
        <v>73</v>
      </c>
      <c r="T485" s="147" t="s">
        <v>74</v>
      </c>
      <c r="U485" s="148">
        <v>19567618</v>
      </c>
      <c r="V485" s="148">
        <v>19567618</v>
      </c>
      <c r="W485" s="147" t="s">
        <v>75</v>
      </c>
      <c r="X485" s="147" t="s">
        <v>67</v>
      </c>
      <c r="Y485" s="147" t="s">
        <v>1295</v>
      </c>
      <c r="Z485" s="147" t="s">
        <v>1150</v>
      </c>
      <c r="AA485" s="147">
        <v>6012220601</v>
      </c>
      <c r="AB485" s="160" t="s">
        <v>1296</v>
      </c>
      <c r="AC485" s="62"/>
      <c r="AD485" s="14"/>
      <c r="AE485" s="62"/>
      <c r="AF485" s="14"/>
      <c r="AG485" s="62"/>
      <c r="AH485" s="14"/>
      <c r="AI485" s="14"/>
      <c r="AJ485" s="14"/>
      <c r="AK485" s="14"/>
      <c r="AL485" s="14"/>
      <c r="AM485" s="14"/>
      <c r="AN485" s="14"/>
      <c r="AO485" s="14"/>
      <c r="AP485" s="14"/>
      <c r="AQ485" s="14"/>
      <c r="AR485" s="14"/>
      <c r="AS485" s="14"/>
      <c r="AT485" s="14"/>
      <c r="AU485" s="31">
        <v>17333333</v>
      </c>
      <c r="AV485" s="31"/>
      <c r="AW485" s="31"/>
      <c r="AX485" s="31">
        <v>4333333</v>
      </c>
      <c r="AY485" s="31"/>
      <c r="AZ485" s="31">
        <v>13000000</v>
      </c>
      <c r="BA485" s="33">
        <v>2234285</v>
      </c>
      <c r="BB485" s="33">
        <v>2234285</v>
      </c>
      <c r="BC485" s="18">
        <f t="shared" si="251"/>
        <v>19567618</v>
      </c>
      <c r="BD485" s="18">
        <f t="shared" si="252"/>
        <v>19567618</v>
      </c>
      <c r="BE485" s="19">
        <f t="shared" si="253"/>
        <v>0</v>
      </c>
      <c r="BF485" s="20">
        <f t="shared" si="254"/>
        <v>0</v>
      </c>
      <c r="BG485" s="20">
        <f t="shared" si="255"/>
        <v>0</v>
      </c>
    </row>
    <row r="486" spans="1:59" ht="14.25" customHeight="1">
      <c r="A486" s="147" t="s">
        <v>59</v>
      </c>
      <c r="B486" s="147" t="s">
        <v>1142</v>
      </c>
      <c r="C486" s="151" t="s">
        <v>1143</v>
      </c>
      <c r="D486" s="151" t="s">
        <v>62</v>
      </c>
      <c r="E486" s="151">
        <v>46</v>
      </c>
      <c r="F486" s="149" t="s">
        <v>1305</v>
      </c>
      <c r="G486" s="147" t="s">
        <v>1145</v>
      </c>
      <c r="H486" s="147" t="s">
        <v>65</v>
      </c>
      <c r="I486" s="147" t="s">
        <v>1146</v>
      </c>
      <c r="J486" s="164">
        <v>80111620</v>
      </c>
      <c r="K486" s="147" t="s">
        <v>1147</v>
      </c>
      <c r="L486" s="147" t="s">
        <v>83</v>
      </c>
      <c r="M486" s="147" t="s">
        <v>1306</v>
      </c>
      <c r="N486" s="147" t="s">
        <v>71</v>
      </c>
      <c r="O486" s="147" t="s">
        <v>71</v>
      </c>
      <c r="P486" s="147" t="s">
        <v>180</v>
      </c>
      <c r="Q486" s="147">
        <v>3</v>
      </c>
      <c r="R486" s="147" t="s">
        <v>72</v>
      </c>
      <c r="S486" s="147" t="s">
        <v>73</v>
      </c>
      <c r="T486" s="147" t="s">
        <v>74</v>
      </c>
      <c r="U486" s="148">
        <v>10800000</v>
      </c>
      <c r="V486" s="148">
        <v>10800000</v>
      </c>
      <c r="W486" s="147" t="s">
        <v>75</v>
      </c>
      <c r="X486" s="147" t="s">
        <v>67</v>
      </c>
      <c r="Y486" s="147" t="s">
        <v>1295</v>
      </c>
      <c r="Z486" s="147" t="s">
        <v>1150</v>
      </c>
      <c r="AA486" s="147">
        <v>6012220601</v>
      </c>
      <c r="AB486" s="160" t="s">
        <v>1296</v>
      </c>
      <c r="AC486" s="62"/>
      <c r="AD486" s="14"/>
      <c r="AE486" s="62"/>
      <c r="AF486" s="14"/>
      <c r="AG486" s="62"/>
      <c r="AH486" s="14"/>
      <c r="AI486" s="14"/>
      <c r="AJ486" s="14"/>
      <c r="AK486" s="14"/>
      <c r="AL486" s="14"/>
      <c r="AM486" s="14"/>
      <c r="AN486" s="14"/>
      <c r="AO486" s="14"/>
      <c r="AP486" s="14"/>
      <c r="AQ486" s="14"/>
      <c r="AR486" s="14"/>
      <c r="AS486" s="14"/>
      <c r="AT486" s="14"/>
      <c r="AU486" s="31">
        <v>10800000</v>
      </c>
      <c r="AV486" s="31"/>
      <c r="AW486" s="31"/>
      <c r="AX486" s="31">
        <v>3600000</v>
      </c>
      <c r="AY486" s="31"/>
      <c r="AZ486" s="31">
        <v>7200000</v>
      </c>
      <c r="BA486" s="17"/>
      <c r="BB486" s="17"/>
      <c r="BC486" s="18">
        <f t="shared" si="251"/>
        <v>10800000</v>
      </c>
      <c r="BD486" s="18">
        <f t="shared" si="252"/>
        <v>10800000</v>
      </c>
      <c r="BE486" s="19">
        <f t="shared" si="253"/>
        <v>0</v>
      </c>
      <c r="BF486" s="20">
        <f t="shared" si="254"/>
        <v>0</v>
      </c>
      <c r="BG486" s="20">
        <f t="shared" si="255"/>
        <v>0</v>
      </c>
    </row>
    <row r="487" spans="1:59" ht="14.25" customHeight="1">
      <c r="A487" s="147" t="s">
        <v>59</v>
      </c>
      <c r="B487" s="147" t="s">
        <v>1142</v>
      </c>
      <c r="C487" s="151" t="s">
        <v>1143</v>
      </c>
      <c r="D487" s="151" t="s">
        <v>62</v>
      </c>
      <c r="E487" s="151">
        <v>46</v>
      </c>
      <c r="F487" s="165" t="s">
        <v>1307</v>
      </c>
      <c r="G487" s="147" t="s">
        <v>1145</v>
      </c>
      <c r="H487" s="147" t="s">
        <v>65</v>
      </c>
      <c r="I487" s="147" t="s">
        <v>1146</v>
      </c>
      <c r="J487" s="164">
        <v>80141607</v>
      </c>
      <c r="K487" s="147" t="s">
        <v>1147</v>
      </c>
      <c r="L487" s="147" t="s">
        <v>917</v>
      </c>
      <c r="M487" s="147" t="s">
        <v>1308</v>
      </c>
      <c r="N487" s="147" t="s">
        <v>180</v>
      </c>
      <c r="O487" s="147" t="s">
        <v>180</v>
      </c>
      <c r="P487" s="147" t="s">
        <v>226</v>
      </c>
      <c r="Q487" s="147">
        <v>1</v>
      </c>
      <c r="R487" s="147" t="s">
        <v>72</v>
      </c>
      <c r="S487" s="147" t="s">
        <v>431</v>
      </c>
      <c r="T487" s="147" t="s">
        <v>74</v>
      </c>
      <c r="U487" s="148">
        <v>22569838</v>
      </c>
      <c r="V487" s="148">
        <v>22569838</v>
      </c>
      <c r="W487" s="147" t="s">
        <v>75</v>
      </c>
      <c r="X487" s="147" t="s">
        <v>67</v>
      </c>
      <c r="Y487" s="147" t="s">
        <v>1295</v>
      </c>
      <c r="Z487" s="147" t="s">
        <v>1150</v>
      </c>
      <c r="AA487" s="147">
        <v>6012220601</v>
      </c>
      <c r="AB487" s="160" t="s">
        <v>1296</v>
      </c>
      <c r="AC487" s="62"/>
      <c r="AD487" s="14"/>
      <c r="AE487" s="62"/>
      <c r="AF487" s="14"/>
      <c r="AG487" s="62"/>
      <c r="AH487" s="14"/>
      <c r="AI487" s="14"/>
      <c r="AJ487" s="14"/>
      <c r="AK487" s="14"/>
      <c r="AL487" s="14"/>
      <c r="AM487" s="14"/>
      <c r="AN487" s="14"/>
      <c r="AO487" s="14"/>
      <c r="AP487" s="14"/>
      <c r="AQ487" s="14"/>
      <c r="AR487" s="14"/>
      <c r="AS487" s="14"/>
      <c r="AT487" s="14"/>
      <c r="AU487" s="31">
        <v>22569838</v>
      </c>
      <c r="AV487" s="31"/>
      <c r="AW487" s="31"/>
      <c r="AX487" s="31"/>
      <c r="AY487" s="31"/>
      <c r="AZ487" s="31">
        <v>22569838</v>
      </c>
      <c r="BA487" s="17"/>
      <c r="BB487" s="17"/>
      <c r="BC487" s="18">
        <f t="shared" si="251"/>
        <v>22569838</v>
      </c>
      <c r="BD487" s="18">
        <f t="shared" si="252"/>
        <v>22569838</v>
      </c>
      <c r="BE487" s="19">
        <f t="shared" si="253"/>
        <v>0</v>
      </c>
      <c r="BF487" s="20">
        <f t="shared" si="254"/>
        <v>0</v>
      </c>
      <c r="BG487" s="20">
        <f t="shared" si="255"/>
        <v>0</v>
      </c>
    </row>
    <row r="488" spans="1:59" ht="14.25" customHeight="1">
      <c r="A488" s="147" t="s">
        <v>59</v>
      </c>
      <c r="B488" s="147" t="s">
        <v>1142</v>
      </c>
      <c r="C488" s="151" t="s">
        <v>1143</v>
      </c>
      <c r="D488" s="151" t="s">
        <v>62</v>
      </c>
      <c r="E488" s="151">
        <v>46</v>
      </c>
      <c r="F488" s="149" t="s">
        <v>1309</v>
      </c>
      <c r="G488" s="147" t="s">
        <v>1145</v>
      </c>
      <c r="H488" s="147" t="s">
        <v>65</v>
      </c>
      <c r="I488" s="147" t="s">
        <v>1146</v>
      </c>
      <c r="J488" s="164">
        <v>80111620</v>
      </c>
      <c r="K488" s="147" t="s">
        <v>1147</v>
      </c>
      <c r="L488" s="147" t="s">
        <v>83</v>
      </c>
      <c r="M488" s="147" t="s">
        <v>1310</v>
      </c>
      <c r="N488" s="147" t="s">
        <v>71</v>
      </c>
      <c r="O488" s="147" t="s">
        <v>71</v>
      </c>
      <c r="P488" s="147" t="s">
        <v>180</v>
      </c>
      <c r="Q488" s="147">
        <v>3</v>
      </c>
      <c r="R488" s="147" t="s">
        <v>72</v>
      </c>
      <c r="S488" s="147" t="s">
        <v>73</v>
      </c>
      <c r="T488" s="147" t="s">
        <v>74</v>
      </c>
      <c r="U488" s="148">
        <v>5333333</v>
      </c>
      <c r="V488" s="148">
        <v>5333333</v>
      </c>
      <c r="W488" s="147" t="s">
        <v>75</v>
      </c>
      <c r="X488" s="147" t="s">
        <v>67</v>
      </c>
      <c r="Y488" s="147" t="s">
        <v>1295</v>
      </c>
      <c r="Z488" s="147" t="s">
        <v>1150</v>
      </c>
      <c r="AA488" s="147">
        <v>6012220601</v>
      </c>
      <c r="AB488" s="160" t="s">
        <v>1296</v>
      </c>
      <c r="AC488" s="62"/>
      <c r="AD488" s="14"/>
      <c r="AE488" s="62"/>
      <c r="AF488" s="14"/>
      <c r="AG488" s="62"/>
      <c r="AH488" s="14"/>
      <c r="AI488" s="14"/>
      <c r="AJ488" s="14"/>
      <c r="AK488" s="14"/>
      <c r="AL488" s="14"/>
      <c r="AM488" s="14"/>
      <c r="AN488" s="14"/>
      <c r="AO488" s="14"/>
      <c r="AP488" s="14"/>
      <c r="AQ488" s="14"/>
      <c r="AR488" s="14"/>
      <c r="AS488" s="14"/>
      <c r="AT488" s="14"/>
      <c r="AU488" s="31">
        <v>5333333</v>
      </c>
      <c r="AV488" s="31"/>
      <c r="AW488" s="31"/>
      <c r="AX488" s="31"/>
      <c r="AY488" s="31"/>
      <c r="AZ488" s="31">
        <v>5333333</v>
      </c>
      <c r="BA488" s="17"/>
      <c r="BB488" s="17"/>
      <c r="BC488" s="18">
        <f t="shared" si="251"/>
        <v>5333333</v>
      </c>
      <c r="BD488" s="18">
        <f t="shared" si="252"/>
        <v>5333333</v>
      </c>
      <c r="BE488" s="19">
        <f t="shared" si="253"/>
        <v>0</v>
      </c>
      <c r="BF488" s="20">
        <f t="shared" si="254"/>
        <v>0</v>
      </c>
      <c r="BG488" s="20">
        <f t="shared" si="255"/>
        <v>0</v>
      </c>
    </row>
    <row r="489" spans="1:59" ht="14.25" customHeight="1">
      <c r="A489" s="147" t="s">
        <v>1311</v>
      </c>
      <c r="B489" s="147" t="s">
        <v>60</v>
      </c>
      <c r="C489" s="151" t="s">
        <v>733</v>
      </c>
      <c r="D489" s="151" t="s">
        <v>62</v>
      </c>
      <c r="E489" s="151">
        <v>32</v>
      </c>
      <c r="F489" s="149" t="s">
        <v>1312</v>
      </c>
      <c r="G489" s="147" t="s">
        <v>733</v>
      </c>
      <c r="H489" s="147" t="s">
        <v>733</v>
      </c>
      <c r="I489" s="147" t="s">
        <v>733</v>
      </c>
      <c r="J489" s="164">
        <v>72151514</v>
      </c>
      <c r="K489" s="147" t="s">
        <v>1313</v>
      </c>
      <c r="L489" s="147" t="s">
        <v>445</v>
      </c>
      <c r="M489" s="147" t="s">
        <v>1314</v>
      </c>
      <c r="N489" s="147" t="s">
        <v>99</v>
      </c>
      <c r="O489" s="147" t="s">
        <v>127</v>
      </c>
      <c r="P489" s="147" t="s">
        <v>343</v>
      </c>
      <c r="Q489" s="147">
        <v>8</v>
      </c>
      <c r="R489" s="147" t="s">
        <v>72</v>
      </c>
      <c r="S489" s="147" t="s">
        <v>222</v>
      </c>
      <c r="T489" s="147" t="s">
        <v>74</v>
      </c>
      <c r="U489" s="148">
        <v>15232000</v>
      </c>
      <c r="V489" s="148">
        <v>15232000</v>
      </c>
      <c r="W489" s="147" t="s">
        <v>75</v>
      </c>
      <c r="X489" s="147" t="s">
        <v>67</v>
      </c>
      <c r="Y489" s="147" t="s">
        <v>1315</v>
      </c>
      <c r="Z489" s="147" t="s">
        <v>103</v>
      </c>
      <c r="AA489" s="147">
        <v>6012220601</v>
      </c>
      <c r="AB489" s="160" t="s">
        <v>104</v>
      </c>
      <c r="AC489" s="14"/>
      <c r="AD489" s="14"/>
      <c r="AE489" s="14"/>
      <c r="AF489" s="14"/>
      <c r="AG489" s="14"/>
      <c r="AH489" s="14"/>
      <c r="AI489" s="14"/>
      <c r="AJ489" s="14"/>
      <c r="AK489" s="14"/>
      <c r="AL489" s="14"/>
      <c r="AM489" s="14"/>
      <c r="AN489" s="14"/>
      <c r="AO489" s="14"/>
      <c r="AP489" s="14"/>
      <c r="AQ489" s="14"/>
      <c r="AR489" s="14"/>
      <c r="AS489" s="14"/>
      <c r="AT489" s="14"/>
      <c r="AU489" s="25"/>
      <c r="AV489" s="25">
        <v>2538666</v>
      </c>
      <c r="AW489" s="25"/>
      <c r="AX489" s="25">
        <v>2538666</v>
      </c>
      <c r="AY489" s="25"/>
      <c r="AZ489" s="25">
        <v>5077336</v>
      </c>
      <c r="BA489" s="17"/>
      <c r="BB489" s="17"/>
      <c r="BC489" s="18">
        <f t="shared" si="251"/>
        <v>0</v>
      </c>
      <c r="BD489" s="18">
        <f t="shared" si="252"/>
        <v>10154668</v>
      </c>
      <c r="BE489" s="19">
        <f t="shared" si="253"/>
        <v>-10154668</v>
      </c>
      <c r="BF489" s="20">
        <f t="shared" si="254"/>
        <v>15232000</v>
      </c>
      <c r="BG489" s="20">
        <f t="shared" si="255"/>
        <v>5077332</v>
      </c>
    </row>
    <row r="490" spans="1:59" ht="14.25" customHeight="1">
      <c r="A490" s="147" t="s">
        <v>1311</v>
      </c>
      <c r="B490" s="147" t="s">
        <v>60</v>
      </c>
      <c r="C490" s="151" t="s">
        <v>733</v>
      </c>
      <c r="D490" s="151" t="s">
        <v>62</v>
      </c>
      <c r="E490" s="151">
        <v>24</v>
      </c>
      <c r="F490" s="149" t="s">
        <v>1316</v>
      </c>
      <c r="G490" s="147" t="s">
        <v>733</v>
      </c>
      <c r="H490" s="147" t="s">
        <v>733</v>
      </c>
      <c r="I490" s="147" t="s">
        <v>733</v>
      </c>
      <c r="J490" s="164">
        <v>41111970</v>
      </c>
      <c r="K490" s="147" t="s">
        <v>1313</v>
      </c>
      <c r="L490" s="147" t="s">
        <v>445</v>
      </c>
      <c r="M490" s="147" t="s">
        <v>1317</v>
      </c>
      <c r="N490" s="147" t="s">
        <v>85</v>
      </c>
      <c r="O490" s="147" t="s">
        <v>86</v>
      </c>
      <c r="P490" s="147" t="s">
        <v>127</v>
      </c>
      <c r="Q490" s="147">
        <v>9</v>
      </c>
      <c r="R490" s="147" t="s">
        <v>72</v>
      </c>
      <c r="S490" s="147" t="s">
        <v>222</v>
      </c>
      <c r="T490" s="147" t="s">
        <v>74</v>
      </c>
      <c r="U490" s="148">
        <v>3284876</v>
      </c>
      <c r="V490" s="148">
        <v>3284876</v>
      </c>
      <c r="W490" s="148" t="s">
        <v>75</v>
      </c>
      <c r="X490" s="147" t="s">
        <v>67</v>
      </c>
      <c r="Y490" s="147" t="s">
        <v>1315</v>
      </c>
      <c r="Z490" s="147" t="s">
        <v>103</v>
      </c>
      <c r="AA490" s="147">
        <v>6012220601</v>
      </c>
      <c r="AB490" s="160" t="s">
        <v>104</v>
      </c>
      <c r="AC490" s="14"/>
      <c r="AD490" s="14"/>
      <c r="AE490" s="14"/>
      <c r="AF490" s="14"/>
      <c r="AG490" s="14"/>
      <c r="AH490" s="14"/>
      <c r="AI490" s="14"/>
      <c r="AJ490" s="14"/>
      <c r="AK490" s="14"/>
      <c r="AL490" s="14"/>
      <c r="AM490" s="14"/>
      <c r="AN490" s="14"/>
      <c r="AO490" s="14"/>
      <c r="AP490" s="14"/>
      <c r="AQ490" s="14"/>
      <c r="AR490" s="14"/>
      <c r="AS490" s="14"/>
      <c r="AT490" s="14"/>
      <c r="AU490" s="25"/>
      <c r="AV490" s="25">
        <v>821219</v>
      </c>
      <c r="AW490" s="25"/>
      <c r="AX490" s="25"/>
      <c r="AY490" s="25"/>
      <c r="AZ490" s="25">
        <v>821219</v>
      </c>
      <c r="BA490" s="17"/>
      <c r="BB490" s="17"/>
      <c r="BC490" s="18">
        <f t="shared" si="251"/>
        <v>0</v>
      </c>
      <c r="BD490" s="18">
        <f t="shared" si="252"/>
        <v>1642438</v>
      </c>
      <c r="BE490" s="19">
        <f t="shared" si="253"/>
        <v>-1642438</v>
      </c>
      <c r="BF490" s="20">
        <f t="shared" si="254"/>
        <v>3284876</v>
      </c>
      <c r="BG490" s="20">
        <f t="shared" si="255"/>
        <v>1642438</v>
      </c>
    </row>
    <row r="491" spans="1:59" ht="14.25" customHeight="1">
      <c r="A491" s="147" t="s">
        <v>1311</v>
      </c>
      <c r="B491" s="147" t="s">
        <v>60</v>
      </c>
      <c r="C491" s="151" t="s">
        <v>733</v>
      </c>
      <c r="D491" s="151" t="s">
        <v>62</v>
      </c>
      <c r="E491" s="151" t="s">
        <v>114</v>
      </c>
      <c r="F491" s="149" t="s">
        <v>1318</v>
      </c>
      <c r="G491" s="147" t="s">
        <v>733</v>
      </c>
      <c r="H491" s="147" t="s">
        <v>733</v>
      </c>
      <c r="I491" s="147" t="s">
        <v>733</v>
      </c>
      <c r="J491" s="164">
        <v>72101511</v>
      </c>
      <c r="K491" s="147" t="s">
        <v>1313</v>
      </c>
      <c r="L491" s="147" t="s">
        <v>445</v>
      </c>
      <c r="M491" s="147" t="s">
        <v>1319</v>
      </c>
      <c r="N491" s="147" t="s">
        <v>85</v>
      </c>
      <c r="O491" s="147" t="s">
        <v>85</v>
      </c>
      <c r="P491" s="147" t="s">
        <v>86</v>
      </c>
      <c r="Q491" s="147">
        <v>10</v>
      </c>
      <c r="R491" s="147" t="s">
        <v>72</v>
      </c>
      <c r="S491" s="147" t="s">
        <v>222</v>
      </c>
      <c r="T491" s="147" t="s">
        <v>74</v>
      </c>
      <c r="U491" s="148">
        <v>7379736</v>
      </c>
      <c r="V491" s="148">
        <v>7379736</v>
      </c>
      <c r="W491" s="147" t="s">
        <v>75</v>
      </c>
      <c r="X491" s="147" t="s">
        <v>67</v>
      </c>
      <c r="Y491" s="147" t="s">
        <v>1315</v>
      </c>
      <c r="Z491" s="147" t="s">
        <v>103</v>
      </c>
      <c r="AA491" s="147">
        <v>6012220601</v>
      </c>
      <c r="AB491" s="160" t="s">
        <v>104</v>
      </c>
      <c r="AC491" s="14"/>
      <c r="AD491" s="14"/>
      <c r="AE491" s="14"/>
      <c r="AF491" s="14"/>
      <c r="AG491" s="14"/>
      <c r="AH491" s="14"/>
      <c r="AI491" s="14"/>
      <c r="AJ491" s="14"/>
      <c r="AK491" s="14"/>
      <c r="AL491" s="14"/>
      <c r="AM491" s="14"/>
      <c r="AN491" s="14"/>
      <c r="AO491" s="14"/>
      <c r="AP491" s="14"/>
      <c r="AQ491" s="14"/>
      <c r="AR491" s="14"/>
      <c r="AS491" s="14"/>
      <c r="AT491" s="14"/>
      <c r="AU491" s="25"/>
      <c r="AV491" s="25"/>
      <c r="AW491" s="25"/>
      <c r="AX491" s="25"/>
      <c r="AY491" s="25"/>
      <c r="AZ491" s="25">
        <v>1844934</v>
      </c>
      <c r="BA491" s="17"/>
      <c r="BB491" s="17"/>
      <c r="BC491" s="18">
        <f t="shared" si="251"/>
        <v>0</v>
      </c>
      <c r="BD491" s="18">
        <f t="shared" si="252"/>
        <v>1844934</v>
      </c>
      <c r="BE491" s="19">
        <f t="shared" si="253"/>
        <v>-1844934</v>
      </c>
      <c r="BF491" s="20">
        <f t="shared" si="254"/>
        <v>7379736</v>
      </c>
      <c r="BG491" s="20">
        <f t="shared" si="255"/>
        <v>5534802</v>
      </c>
    </row>
    <row r="492" spans="1:59" ht="14.25" customHeight="1">
      <c r="A492" s="147" t="s">
        <v>1311</v>
      </c>
      <c r="B492" s="147" t="s">
        <v>60</v>
      </c>
      <c r="C492" s="151" t="s">
        <v>733</v>
      </c>
      <c r="D492" s="151" t="s">
        <v>62</v>
      </c>
      <c r="E492" s="151" t="s">
        <v>114</v>
      </c>
      <c r="F492" s="149" t="s">
        <v>1320</v>
      </c>
      <c r="G492" s="147" t="s">
        <v>733</v>
      </c>
      <c r="H492" s="147" t="s">
        <v>733</v>
      </c>
      <c r="I492" s="147" t="s">
        <v>733</v>
      </c>
      <c r="J492" s="164">
        <v>72101509</v>
      </c>
      <c r="K492" s="147" t="s">
        <v>1313</v>
      </c>
      <c r="L492" s="147" t="s">
        <v>445</v>
      </c>
      <c r="M492" s="147" t="s">
        <v>1321</v>
      </c>
      <c r="N492" s="147" t="s">
        <v>85</v>
      </c>
      <c r="O492" s="147" t="s">
        <v>86</v>
      </c>
      <c r="P492" s="147" t="s">
        <v>99</v>
      </c>
      <c r="Q492" s="147">
        <v>9</v>
      </c>
      <c r="R492" s="147" t="s">
        <v>72</v>
      </c>
      <c r="S492" s="147" t="s">
        <v>222</v>
      </c>
      <c r="T492" s="147" t="s">
        <v>74</v>
      </c>
      <c r="U492" s="148">
        <v>22615320</v>
      </c>
      <c r="V492" s="148">
        <v>22615320</v>
      </c>
      <c r="W492" s="147" t="s">
        <v>75</v>
      </c>
      <c r="X492" s="147" t="s">
        <v>67</v>
      </c>
      <c r="Y492" s="147" t="s">
        <v>1315</v>
      </c>
      <c r="Z492" s="147" t="s">
        <v>103</v>
      </c>
      <c r="AA492" s="147">
        <v>6012220601</v>
      </c>
      <c r="AB492" s="160" t="s">
        <v>104</v>
      </c>
      <c r="AC492" s="14"/>
      <c r="AD492" s="14"/>
      <c r="AE492" s="14"/>
      <c r="AF492" s="14"/>
      <c r="AG492" s="14"/>
      <c r="AH492" s="14"/>
      <c r="AI492" s="14"/>
      <c r="AJ492" s="14"/>
      <c r="AK492" s="14"/>
      <c r="AL492" s="14"/>
      <c r="AM492" s="14"/>
      <c r="AN492" s="14"/>
      <c r="AO492" s="14"/>
      <c r="AP492" s="14"/>
      <c r="AQ492" s="14"/>
      <c r="AR492" s="14"/>
      <c r="AS492" s="14"/>
      <c r="AT492" s="14"/>
      <c r="AU492" s="25"/>
      <c r="AV492" s="25"/>
      <c r="AW492" s="25"/>
      <c r="AX492" s="25">
        <v>7538440</v>
      </c>
      <c r="AY492" s="25"/>
      <c r="AZ492" s="25"/>
      <c r="BA492" s="17"/>
      <c r="BB492" s="17"/>
      <c r="BC492" s="18">
        <f t="shared" si="251"/>
        <v>0</v>
      </c>
      <c r="BD492" s="18">
        <f t="shared" si="252"/>
        <v>7538440</v>
      </c>
      <c r="BE492" s="19">
        <f t="shared" si="253"/>
        <v>-7538440</v>
      </c>
      <c r="BF492" s="20">
        <f t="shared" si="254"/>
        <v>22615320</v>
      </c>
      <c r="BG492" s="20">
        <f t="shared" si="255"/>
        <v>15076880</v>
      </c>
    </row>
    <row r="493" spans="1:59" ht="14.25" customHeight="1">
      <c r="A493" s="147" t="s">
        <v>1311</v>
      </c>
      <c r="B493" s="147" t="s">
        <v>60</v>
      </c>
      <c r="C493" s="151" t="s">
        <v>733</v>
      </c>
      <c r="D493" s="151" t="s">
        <v>62</v>
      </c>
      <c r="E493" s="151" t="s">
        <v>114</v>
      </c>
      <c r="F493" s="149" t="s">
        <v>1322</v>
      </c>
      <c r="G493" s="147" t="s">
        <v>733</v>
      </c>
      <c r="H493" s="147" t="s">
        <v>733</v>
      </c>
      <c r="I493" s="147" t="s">
        <v>733</v>
      </c>
      <c r="J493" s="164">
        <v>78181507</v>
      </c>
      <c r="K493" s="147" t="s">
        <v>1313</v>
      </c>
      <c r="L493" s="147" t="s">
        <v>445</v>
      </c>
      <c r="M493" s="147" t="s">
        <v>1323</v>
      </c>
      <c r="N493" s="147" t="s">
        <v>99</v>
      </c>
      <c r="O493" s="147" t="s">
        <v>99</v>
      </c>
      <c r="P493" s="147" t="s">
        <v>99</v>
      </c>
      <c r="Q493" s="147">
        <v>11</v>
      </c>
      <c r="R493" s="147" t="s">
        <v>72</v>
      </c>
      <c r="S493" s="147" t="s">
        <v>222</v>
      </c>
      <c r="T493" s="147" t="s">
        <v>74</v>
      </c>
      <c r="U493" s="148">
        <v>3090000</v>
      </c>
      <c r="V493" s="148">
        <v>3090000</v>
      </c>
      <c r="W493" s="147" t="s">
        <v>75</v>
      </c>
      <c r="X493" s="147" t="s">
        <v>67</v>
      </c>
      <c r="Y493" s="147" t="s">
        <v>1315</v>
      </c>
      <c r="Z493" s="147" t="s">
        <v>103</v>
      </c>
      <c r="AA493" s="147">
        <v>6012220601</v>
      </c>
      <c r="AB493" s="160" t="s">
        <v>104</v>
      </c>
      <c r="AC493" s="14"/>
      <c r="AD493" s="14"/>
      <c r="AE493" s="14"/>
      <c r="AF493" s="14"/>
      <c r="AG493" s="14"/>
      <c r="AH493" s="14"/>
      <c r="AI493" s="14"/>
      <c r="AJ493" s="14"/>
      <c r="AK493" s="14"/>
      <c r="AL493" s="14"/>
      <c r="AM493" s="14"/>
      <c r="AN493" s="14"/>
      <c r="AO493" s="14"/>
      <c r="AP493" s="14"/>
      <c r="AQ493" s="14"/>
      <c r="AR493" s="14"/>
      <c r="AS493" s="14"/>
      <c r="AT493" s="14"/>
      <c r="AU493" s="25"/>
      <c r="AV493" s="25">
        <v>386250</v>
      </c>
      <c r="AW493" s="25"/>
      <c r="AX493" s="25">
        <v>386250</v>
      </c>
      <c r="AY493" s="25"/>
      <c r="AZ493" s="25">
        <v>386250</v>
      </c>
      <c r="BA493" s="17"/>
      <c r="BB493" s="17"/>
      <c r="BC493" s="18">
        <f t="shared" si="251"/>
        <v>0</v>
      </c>
      <c r="BD493" s="18">
        <f t="shared" si="252"/>
        <v>1158750</v>
      </c>
      <c r="BE493" s="19">
        <f t="shared" si="253"/>
        <v>-1158750</v>
      </c>
      <c r="BF493" s="20">
        <f t="shared" si="254"/>
        <v>3090000</v>
      </c>
      <c r="BG493" s="20">
        <f t="shared" si="255"/>
        <v>1931250</v>
      </c>
    </row>
    <row r="494" spans="1:59" ht="14.25" customHeight="1">
      <c r="A494" s="147" t="s">
        <v>1311</v>
      </c>
      <c r="B494" s="147" t="s">
        <v>60</v>
      </c>
      <c r="C494" s="151" t="s">
        <v>733</v>
      </c>
      <c r="D494" s="151" t="s">
        <v>62</v>
      </c>
      <c r="E494" s="151">
        <v>30</v>
      </c>
      <c r="F494" s="149" t="s">
        <v>1324</v>
      </c>
      <c r="G494" s="147" t="s">
        <v>733</v>
      </c>
      <c r="H494" s="147" t="s">
        <v>733</v>
      </c>
      <c r="I494" s="147" t="s">
        <v>733</v>
      </c>
      <c r="J494" s="164">
        <v>78181507</v>
      </c>
      <c r="K494" s="147" t="s">
        <v>1313</v>
      </c>
      <c r="L494" s="147" t="s">
        <v>445</v>
      </c>
      <c r="M494" s="147" t="s">
        <v>1325</v>
      </c>
      <c r="N494" s="147" t="s">
        <v>85</v>
      </c>
      <c r="O494" s="147" t="s">
        <v>85</v>
      </c>
      <c r="P494" s="147" t="s">
        <v>86</v>
      </c>
      <c r="Q494" s="147">
        <v>11</v>
      </c>
      <c r="R494" s="147" t="s">
        <v>72</v>
      </c>
      <c r="S494" s="147" t="s">
        <v>222</v>
      </c>
      <c r="T494" s="147" t="s">
        <v>74</v>
      </c>
      <c r="U494" s="148">
        <v>0</v>
      </c>
      <c r="V494" s="148">
        <v>0</v>
      </c>
      <c r="W494" s="147" t="s">
        <v>75</v>
      </c>
      <c r="X494" s="147" t="s">
        <v>67</v>
      </c>
      <c r="Y494" s="147" t="s">
        <v>1315</v>
      </c>
      <c r="Z494" s="147" t="s">
        <v>103</v>
      </c>
      <c r="AA494" s="147">
        <v>6012220601</v>
      </c>
      <c r="AB494" s="160" t="s">
        <v>104</v>
      </c>
      <c r="AC494" s="14"/>
      <c r="AD494" s="14"/>
      <c r="AE494" s="14"/>
      <c r="AF494" s="14"/>
      <c r="AG494" s="14"/>
      <c r="AH494" s="14"/>
      <c r="AI494" s="14"/>
      <c r="AJ494" s="14"/>
      <c r="AK494" s="14"/>
      <c r="AL494" s="14"/>
      <c r="AM494" s="14"/>
      <c r="AN494" s="14"/>
      <c r="AO494" s="14"/>
      <c r="AP494" s="14"/>
      <c r="AQ494" s="14"/>
      <c r="AR494" s="14"/>
      <c r="AS494" s="14"/>
      <c r="AT494" s="14"/>
      <c r="AU494" s="25"/>
      <c r="AV494" s="25"/>
      <c r="AW494" s="25"/>
      <c r="AX494" s="25"/>
      <c r="AY494" s="25"/>
      <c r="AZ494" s="25"/>
      <c r="BA494" s="17"/>
      <c r="BB494" s="17"/>
      <c r="BC494" s="18">
        <f t="shared" si="251"/>
        <v>0</v>
      </c>
      <c r="BD494" s="18">
        <f t="shared" si="252"/>
        <v>0</v>
      </c>
      <c r="BE494" s="19">
        <f t="shared" si="253"/>
        <v>0</v>
      </c>
      <c r="BF494" s="20">
        <f t="shared" si="254"/>
        <v>0</v>
      </c>
      <c r="BG494" s="20">
        <f t="shared" si="255"/>
        <v>0</v>
      </c>
    </row>
    <row r="495" spans="1:59" ht="14.25" customHeight="1">
      <c r="A495" s="147" t="s">
        <v>1311</v>
      </c>
      <c r="B495" s="147" t="s">
        <v>60</v>
      </c>
      <c r="C495" s="151" t="s">
        <v>733</v>
      </c>
      <c r="D495" s="151" t="s">
        <v>62</v>
      </c>
      <c r="E495" s="151" t="s">
        <v>114</v>
      </c>
      <c r="F495" s="149" t="s">
        <v>1326</v>
      </c>
      <c r="G495" s="147" t="s">
        <v>733</v>
      </c>
      <c r="H495" s="147" t="s">
        <v>733</v>
      </c>
      <c r="I495" s="147" t="s">
        <v>733</v>
      </c>
      <c r="J495" s="164">
        <v>46191601</v>
      </c>
      <c r="K495" s="147" t="s">
        <v>1313</v>
      </c>
      <c r="L495" s="147" t="s">
        <v>445</v>
      </c>
      <c r="M495" s="147" t="s">
        <v>1327</v>
      </c>
      <c r="N495" s="147" t="s">
        <v>127</v>
      </c>
      <c r="O495" s="147" t="s">
        <v>127</v>
      </c>
      <c r="P495" s="147" t="s">
        <v>127</v>
      </c>
      <c r="Q495" s="147">
        <v>3</v>
      </c>
      <c r="R495" s="147" t="s">
        <v>72</v>
      </c>
      <c r="S495" s="147" t="s">
        <v>222</v>
      </c>
      <c r="T495" s="147" t="s">
        <v>74</v>
      </c>
      <c r="U495" s="148">
        <v>3500000</v>
      </c>
      <c r="V495" s="148">
        <v>3500000</v>
      </c>
      <c r="W495" s="147" t="s">
        <v>75</v>
      </c>
      <c r="X495" s="147" t="s">
        <v>67</v>
      </c>
      <c r="Y495" s="147" t="s">
        <v>1315</v>
      </c>
      <c r="Z495" s="147" t="s">
        <v>103</v>
      </c>
      <c r="AA495" s="147">
        <v>6012220601</v>
      </c>
      <c r="AB495" s="160" t="s">
        <v>104</v>
      </c>
      <c r="AC495" s="14"/>
      <c r="AD495" s="14"/>
      <c r="AE495" s="14"/>
      <c r="AF495" s="14"/>
      <c r="AG495" s="14"/>
      <c r="AH495" s="14"/>
      <c r="AI495" s="14"/>
      <c r="AJ495" s="14"/>
      <c r="AK495" s="14"/>
      <c r="AL495" s="14"/>
      <c r="AM495" s="14"/>
      <c r="AN495" s="14"/>
      <c r="AO495" s="14"/>
      <c r="AP495" s="14"/>
      <c r="AQ495" s="14"/>
      <c r="AR495" s="14"/>
      <c r="AS495" s="14"/>
      <c r="AT495" s="14"/>
      <c r="AU495" s="25"/>
      <c r="AV495" s="25"/>
      <c r="AW495" s="25"/>
      <c r="AX495" s="25"/>
      <c r="AY495" s="25"/>
      <c r="AZ495" s="25"/>
      <c r="BA495" s="17"/>
      <c r="BB495" s="17"/>
      <c r="BC495" s="18">
        <f t="shared" si="251"/>
        <v>0</v>
      </c>
      <c r="BD495" s="18">
        <f t="shared" si="252"/>
        <v>0</v>
      </c>
      <c r="BE495" s="19">
        <f t="shared" si="253"/>
        <v>0</v>
      </c>
      <c r="BF495" s="20">
        <f t="shared" si="254"/>
        <v>3500000</v>
      </c>
      <c r="BG495" s="20">
        <f t="shared" si="255"/>
        <v>3500000</v>
      </c>
    </row>
    <row r="496" spans="1:59" ht="14.25" customHeight="1">
      <c r="A496" s="147" t="s">
        <v>1311</v>
      </c>
      <c r="B496" s="147" t="s">
        <v>60</v>
      </c>
      <c r="C496" s="151" t="s">
        <v>733</v>
      </c>
      <c r="D496" s="151" t="s">
        <v>62</v>
      </c>
      <c r="E496" s="151">
        <v>27</v>
      </c>
      <c r="F496" s="149" t="s">
        <v>1328</v>
      </c>
      <c r="G496" s="147" t="s">
        <v>733</v>
      </c>
      <c r="H496" s="147" t="s">
        <v>733</v>
      </c>
      <c r="I496" s="147" t="s">
        <v>733</v>
      </c>
      <c r="J496" s="164" t="s">
        <v>1329</v>
      </c>
      <c r="K496" s="147" t="s">
        <v>1313</v>
      </c>
      <c r="L496" s="147" t="s">
        <v>445</v>
      </c>
      <c r="M496" s="147" t="s">
        <v>1330</v>
      </c>
      <c r="N496" s="147" t="s">
        <v>99</v>
      </c>
      <c r="O496" s="147" t="s">
        <v>99</v>
      </c>
      <c r="P496" s="147" t="s">
        <v>615</v>
      </c>
      <c r="Q496" s="147">
        <v>6</v>
      </c>
      <c r="R496" s="147" t="s">
        <v>72</v>
      </c>
      <c r="S496" s="147" t="s">
        <v>222</v>
      </c>
      <c r="T496" s="147" t="s">
        <v>74</v>
      </c>
      <c r="U496" s="148">
        <v>6533100</v>
      </c>
      <c r="V496" s="148">
        <v>6533100</v>
      </c>
      <c r="W496" s="147" t="s">
        <v>75</v>
      </c>
      <c r="X496" s="147" t="s">
        <v>67</v>
      </c>
      <c r="Y496" s="147" t="s">
        <v>1315</v>
      </c>
      <c r="Z496" s="147" t="s">
        <v>103</v>
      </c>
      <c r="AA496" s="147">
        <v>6012220601</v>
      </c>
      <c r="AB496" s="160" t="s">
        <v>104</v>
      </c>
      <c r="AC496" s="14"/>
      <c r="AD496" s="14"/>
      <c r="AE496" s="14"/>
      <c r="AF496" s="14"/>
      <c r="AG496" s="14"/>
      <c r="AH496" s="14"/>
      <c r="AI496" s="14"/>
      <c r="AJ496" s="14"/>
      <c r="AK496" s="14"/>
      <c r="AL496" s="14"/>
      <c r="AM496" s="14"/>
      <c r="AN496" s="14"/>
      <c r="AO496" s="14"/>
      <c r="AP496" s="14"/>
      <c r="AQ496" s="14"/>
      <c r="AR496" s="14"/>
      <c r="AS496" s="14"/>
      <c r="AT496" s="14"/>
      <c r="AU496" s="25"/>
      <c r="AV496" s="25">
        <v>933300</v>
      </c>
      <c r="AW496" s="25"/>
      <c r="AX496" s="25">
        <v>933300</v>
      </c>
      <c r="AY496" s="25"/>
      <c r="AZ496" s="25">
        <v>1866600</v>
      </c>
      <c r="BA496" s="17"/>
      <c r="BB496" s="17"/>
      <c r="BC496" s="18">
        <f t="shared" si="251"/>
        <v>0</v>
      </c>
      <c r="BD496" s="18">
        <f t="shared" si="252"/>
        <v>3733200</v>
      </c>
      <c r="BE496" s="19">
        <f t="shared" si="253"/>
        <v>-3733200</v>
      </c>
      <c r="BF496" s="20">
        <f t="shared" si="254"/>
        <v>6533100</v>
      </c>
      <c r="BG496" s="20">
        <f t="shared" si="255"/>
        <v>2799900</v>
      </c>
    </row>
    <row r="497" spans="1:59" ht="14.25" customHeight="1">
      <c r="A497" s="147" t="s">
        <v>1311</v>
      </c>
      <c r="B497" s="147" t="s">
        <v>60</v>
      </c>
      <c r="C497" s="151" t="s">
        <v>733</v>
      </c>
      <c r="D497" s="151" t="s">
        <v>62</v>
      </c>
      <c r="E497" s="151" t="s">
        <v>114</v>
      </c>
      <c r="F497" s="149" t="s">
        <v>1331</v>
      </c>
      <c r="G497" s="147" t="s">
        <v>733</v>
      </c>
      <c r="H497" s="147" t="s">
        <v>733</v>
      </c>
      <c r="I497" s="147" t="s">
        <v>733</v>
      </c>
      <c r="J497" s="164">
        <v>72151704</v>
      </c>
      <c r="K497" s="147" t="s">
        <v>1313</v>
      </c>
      <c r="L497" s="147" t="s">
        <v>445</v>
      </c>
      <c r="M497" s="147" t="s">
        <v>1332</v>
      </c>
      <c r="N497" s="147" t="s">
        <v>99</v>
      </c>
      <c r="O497" s="147" t="s">
        <v>99</v>
      </c>
      <c r="P497" s="147" t="s">
        <v>99</v>
      </c>
      <c r="Q497" s="147">
        <v>8</v>
      </c>
      <c r="R497" s="147" t="s">
        <v>72</v>
      </c>
      <c r="S497" s="147" t="s">
        <v>222</v>
      </c>
      <c r="T497" s="147" t="s">
        <v>74</v>
      </c>
      <c r="U497" s="148">
        <v>4000000</v>
      </c>
      <c r="V497" s="148">
        <v>4000000</v>
      </c>
      <c r="W497" s="147" t="s">
        <v>75</v>
      </c>
      <c r="X497" s="147" t="s">
        <v>67</v>
      </c>
      <c r="Y497" s="147" t="s">
        <v>1315</v>
      </c>
      <c r="Z497" s="147" t="s">
        <v>103</v>
      </c>
      <c r="AA497" s="147">
        <v>6012220601</v>
      </c>
      <c r="AB497" s="160" t="s">
        <v>104</v>
      </c>
      <c r="AC497" s="14"/>
      <c r="AD497" s="14"/>
      <c r="AE497" s="14"/>
      <c r="AF497" s="14"/>
      <c r="AG497" s="14"/>
      <c r="AH497" s="14"/>
      <c r="AI497" s="14"/>
      <c r="AJ497" s="14"/>
      <c r="AK497" s="14"/>
      <c r="AL497" s="14"/>
      <c r="AM497" s="14"/>
      <c r="AN497" s="14"/>
      <c r="AO497" s="14"/>
      <c r="AP497" s="14"/>
      <c r="AQ497" s="14"/>
      <c r="AR497" s="14"/>
      <c r="AS497" s="14"/>
      <c r="AT497" s="14"/>
      <c r="AU497" s="25"/>
      <c r="AV497" s="25"/>
      <c r="AW497" s="25"/>
      <c r="AX497" s="25"/>
      <c r="AY497" s="25"/>
      <c r="AZ497" s="25"/>
      <c r="BA497" s="17"/>
      <c r="BB497" s="17"/>
      <c r="BC497" s="18">
        <f t="shared" si="251"/>
        <v>0</v>
      </c>
      <c r="BD497" s="18">
        <f t="shared" si="252"/>
        <v>0</v>
      </c>
      <c r="BE497" s="19">
        <f t="shared" si="253"/>
        <v>0</v>
      </c>
      <c r="BF497" s="20">
        <f t="shared" si="254"/>
        <v>4000000</v>
      </c>
      <c r="BG497" s="20">
        <f t="shared" si="255"/>
        <v>4000000</v>
      </c>
    </row>
    <row r="498" spans="1:59" ht="14.25" customHeight="1">
      <c r="A498" s="147" t="s">
        <v>1311</v>
      </c>
      <c r="B498" s="147" t="s">
        <v>60</v>
      </c>
      <c r="C498" s="151" t="s">
        <v>733</v>
      </c>
      <c r="D498" s="151" t="s">
        <v>62</v>
      </c>
      <c r="E498" s="151" t="s">
        <v>114</v>
      </c>
      <c r="F498" s="149" t="s">
        <v>1333</v>
      </c>
      <c r="G498" s="147" t="s">
        <v>733</v>
      </c>
      <c r="H498" s="147" t="s">
        <v>733</v>
      </c>
      <c r="I498" s="147" t="s">
        <v>733</v>
      </c>
      <c r="J498" s="164">
        <v>72102900</v>
      </c>
      <c r="K498" s="147" t="s">
        <v>1313</v>
      </c>
      <c r="L498" s="147" t="s">
        <v>445</v>
      </c>
      <c r="M498" s="147" t="s">
        <v>1334</v>
      </c>
      <c r="N498" s="147" t="s">
        <v>99</v>
      </c>
      <c r="O498" s="147" t="s">
        <v>99</v>
      </c>
      <c r="P498" s="147" t="s">
        <v>99</v>
      </c>
      <c r="Q498" s="147">
        <v>8</v>
      </c>
      <c r="R498" s="147" t="s">
        <v>72</v>
      </c>
      <c r="S498" s="147" t="s">
        <v>222</v>
      </c>
      <c r="T498" s="147" t="s">
        <v>74</v>
      </c>
      <c r="U498" s="148">
        <v>54500000</v>
      </c>
      <c r="V498" s="148">
        <v>54500000</v>
      </c>
      <c r="W498" s="147" t="s">
        <v>75</v>
      </c>
      <c r="X498" s="147" t="s">
        <v>67</v>
      </c>
      <c r="Y498" s="147" t="s">
        <v>1315</v>
      </c>
      <c r="Z498" s="147" t="s">
        <v>103</v>
      </c>
      <c r="AA498" s="147">
        <v>6012220601</v>
      </c>
      <c r="AB498" s="160" t="s">
        <v>104</v>
      </c>
      <c r="AC498" s="14"/>
      <c r="AD498" s="14"/>
      <c r="AE498" s="14"/>
      <c r="AF498" s="14"/>
      <c r="AG498" s="14"/>
      <c r="AH498" s="14"/>
      <c r="AI498" s="14"/>
      <c r="AJ498" s="14"/>
      <c r="AK498" s="14"/>
      <c r="AL498" s="14"/>
      <c r="AM498" s="14"/>
      <c r="AN498" s="14"/>
      <c r="AO498" s="14"/>
      <c r="AP498" s="14"/>
      <c r="AQ498" s="14"/>
      <c r="AR498" s="14"/>
      <c r="AS498" s="14"/>
      <c r="AT498" s="14"/>
      <c r="AU498" s="25"/>
      <c r="AV498" s="25">
        <v>27250000</v>
      </c>
      <c r="AW498" s="25"/>
      <c r="AX498" s="25"/>
      <c r="AY498" s="25"/>
      <c r="AZ498" s="25"/>
      <c r="BA498" s="17"/>
      <c r="BB498" s="17"/>
      <c r="BC498" s="18">
        <f t="shared" si="251"/>
        <v>0</v>
      </c>
      <c r="BD498" s="18">
        <f t="shared" si="252"/>
        <v>27250000</v>
      </c>
      <c r="BE498" s="19">
        <f t="shared" si="253"/>
        <v>-27250000</v>
      </c>
      <c r="BF498" s="20">
        <f t="shared" si="254"/>
        <v>54500000</v>
      </c>
      <c r="BG498" s="20">
        <f t="shared" si="255"/>
        <v>27250000</v>
      </c>
    </row>
    <row r="499" spans="1:59" ht="14.25" customHeight="1">
      <c r="A499" s="147" t="s">
        <v>1311</v>
      </c>
      <c r="B499" s="147" t="s">
        <v>60</v>
      </c>
      <c r="C499" s="151" t="s">
        <v>733</v>
      </c>
      <c r="D499" s="151" t="s">
        <v>62</v>
      </c>
      <c r="E499" s="151" t="s">
        <v>114</v>
      </c>
      <c r="F499" s="149" t="s">
        <v>1335</v>
      </c>
      <c r="G499" s="147" t="s">
        <v>733</v>
      </c>
      <c r="H499" s="147" t="s">
        <v>733</v>
      </c>
      <c r="I499" s="147" t="s">
        <v>733</v>
      </c>
      <c r="J499" s="164">
        <v>44103100</v>
      </c>
      <c r="K499" s="147" t="s">
        <v>1336</v>
      </c>
      <c r="L499" s="147" t="s">
        <v>131</v>
      </c>
      <c r="M499" s="147" t="s">
        <v>1337</v>
      </c>
      <c r="N499" s="147" t="s">
        <v>127</v>
      </c>
      <c r="O499" s="147" t="s">
        <v>127</v>
      </c>
      <c r="P499" s="147" t="s">
        <v>128</v>
      </c>
      <c r="Q499" s="147">
        <v>3</v>
      </c>
      <c r="R499" s="147" t="s">
        <v>72</v>
      </c>
      <c r="S499" s="147" t="s">
        <v>222</v>
      </c>
      <c r="T499" s="147" t="s">
        <v>74</v>
      </c>
      <c r="U499" s="148">
        <v>6736200</v>
      </c>
      <c r="V499" s="148">
        <v>6736200</v>
      </c>
      <c r="W499" s="147" t="s">
        <v>75</v>
      </c>
      <c r="X499" s="147" t="s">
        <v>67</v>
      </c>
      <c r="Y499" s="147" t="s">
        <v>1315</v>
      </c>
      <c r="Z499" s="147" t="s">
        <v>103</v>
      </c>
      <c r="AA499" s="147">
        <v>6012220601</v>
      </c>
      <c r="AB499" s="160" t="s">
        <v>104</v>
      </c>
      <c r="AC499" s="14"/>
      <c r="AD499" s="14"/>
      <c r="AE499" s="14"/>
      <c r="AF499" s="14"/>
      <c r="AG499" s="14"/>
      <c r="AH499" s="14"/>
      <c r="AI499" s="14"/>
      <c r="AJ499" s="14"/>
      <c r="AK499" s="14"/>
      <c r="AL499" s="14"/>
      <c r="AM499" s="14"/>
      <c r="AN499" s="14"/>
      <c r="AO499" s="14"/>
      <c r="AP499" s="14"/>
      <c r="AQ499" s="14"/>
      <c r="AR499" s="14"/>
      <c r="AS499" s="14"/>
      <c r="AT499" s="14"/>
      <c r="AU499" s="25"/>
      <c r="AV499" s="25"/>
      <c r="AW499" s="25"/>
      <c r="AX499" s="25"/>
      <c r="AY499" s="25"/>
      <c r="AZ499" s="25"/>
      <c r="BA499" s="17"/>
      <c r="BB499" s="17"/>
      <c r="BC499" s="18">
        <f t="shared" si="251"/>
        <v>0</v>
      </c>
      <c r="BD499" s="18">
        <f t="shared" si="252"/>
        <v>0</v>
      </c>
      <c r="BE499" s="19">
        <f t="shared" si="253"/>
        <v>0</v>
      </c>
      <c r="BF499" s="20">
        <f t="shared" si="254"/>
        <v>6736200</v>
      </c>
      <c r="BG499" s="20">
        <f t="shared" si="255"/>
        <v>6736200</v>
      </c>
    </row>
    <row r="500" spans="1:59" ht="14.25" customHeight="1">
      <c r="A500" s="147" t="s">
        <v>1311</v>
      </c>
      <c r="B500" s="147" t="s">
        <v>60</v>
      </c>
      <c r="C500" s="151" t="s">
        <v>733</v>
      </c>
      <c r="D500" s="151" t="s">
        <v>62</v>
      </c>
      <c r="E500" s="151" t="s">
        <v>114</v>
      </c>
      <c r="F500" s="149" t="s">
        <v>1338</v>
      </c>
      <c r="G500" s="147" t="s">
        <v>733</v>
      </c>
      <c r="H500" s="147" t="s">
        <v>733</v>
      </c>
      <c r="I500" s="147" t="s">
        <v>733</v>
      </c>
      <c r="J500" s="164">
        <v>80131500</v>
      </c>
      <c r="K500" s="147" t="s">
        <v>1339</v>
      </c>
      <c r="L500" s="147" t="s">
        <v>97</v>
      </c>
      <c r="M500" s="147" t="s">
        <v>1340</v>
      </c>
      <c r="N500" s="147" t="s">
        <v>91</v>
      </c>
      <c r="O500" s="147" t="s">
        <v>91</v>
      </c>
      <c r="P500" s="147" t="s">
        <v>91</v>
      </c>
      <c r="Q500" s="147">
        <v>11</v>
      </c>
      <c r="R500" s="147" t="s">
        <v>72</v>
      </c>
      <c r="S500" s="147" t="s">
        <v>222</v>
      </c>
      <c r="T500" s="147" t="s">
        <v>74</v>
      </c>
      <c r="U500" s="148">
        <v>115360000</v>
      </c>
      <c r="V500" s="148">
        <v>115360000</v>
      </c>
      <c r="W500" s="147" t="s">
        <v>75</v>
      </c>
      <c r="X500" s="147" t="s">
        <v>67</v>
      </c>
      <c r="Y500" s="147" t="s">
        <v>1315</v>
      </c>
      <c r="Z500" s="147" t="s">
        <v>103</v>
      </c>
      <c r="AA500" s="147">
        <v>6012220601</v>
      </c>
      <c r="AB500" s="160" t="s">
        <v>104</v>
      </c>
      <c r="AC500" s="14"/>
      <c r="AD500" s="14"/>
      <c r="AE500" s="14"/>
      <c r="AF500" s="14"/>
      <c r="AG500" s="14"/>
      <c r="AH500" s="14"/>
      <c r="AI500" s="14"/>
      <c r="AJ500" s="14"/>
      <c r="AK500" s="14"/>
      <c r="AL500" s="14"/>
      <c r="AM500" s="14"/>
      <c r="AN500" s="14"/>
      <c r="AO500" s="14"/>
      <c r="AP500" s="14"/>
      <c r="AQ500" s="14"/>
      <c r="AR500" s="14"/>
      <c r="AS500" s="14"/>
      <c r="AT500" s="14"/>
      <c r="AU500" s="25"/>
      <c r="AV500" s="25">
        <v>10487273</v>
      </c>
      <c r="AW500" s="25"/>
      <c r="AX500" s="25">
        <v>10487273</v>
      </c>
      <c r="AY500" s="25"/>
      <c r="AZ500" s="25">
        <v>10487270</v>
      </c>
      <c r="BA500" s="17"/>
      <c r="BB500" s="17"/>
      <c r="BC500" s="18">
        <f t="shared" si="251"/>
        <v>0</v>
      </c>
      <c r="BD500" s="18">
        <f t="shared" si="252"/>
        <v>31461816</v>
      </c>
      <c r="BE500" s="19">
        <f t="shared" si="253"/>
        <v>-31461816</v>
      </c>
      <c r="BF500" s="20">
        <f t="shared" si="254"/>
        <v>115360000</v>
      </c>
      <c r="BG500" s="20">
        <f t="shared" si="255"/>
        <v>83898184</v>
      </c>
    </row>
    <row r="501" spans="1:59" ht="14.25" customHeight="1">
      <c r="A501" s="147" t="s">
        <v>1311</v>
      </c>
      <c r="B501" s="147" t="s">
        <v>60</v>
      </c>
      <c r="C501" s="151" t="s">
        <v>733</v>
      </c>
      <c r="D501" s="151" t="s">
        <v>62</v>
      </c>
      <c r="E501" s="151">
        <v>32</v>
      </c>
      <c r="F501" s="149" t="s">
        <v>1341</v>
      </c>
      <c r="G501" s="147" t="s">
        <v>733</v>
      </c>
      <c r="H501" s="147" t="s">
        <v>733</v>
      </c>
      <c r="I501" s="147" t="s">
        <v>733</v>
      </c>
      <c r="J501" s="164" t="s">
        <v>682</v>
      </c>
      <c r="K501" s="147" t="s">
        <v>1342</v>
      </c>
      <c r="L501" s="147" t="s">
        <v>131</v>
      </c>
      <c r="M501" s="147" t="s">
        <v>1343</v>
      </c>
      <c r="N501" s="147" t="s">
        <v>85</v>
      </c>
      <c r="O501" s="147" t="s">
        <v>85</v>
      </c>
      <c r="P501" s="147" t="s">
        <v>99</v>
      </c>
      <c r="Q501" s="147">
        <v>9</v>
      </c>
      <c r="R501" s="147" t="s">
        <v>72</v>
      </c>
      <c r="S501" s="147" t="s">
        <v>222</v>
      </c>
      <c r="T501" s="147" t="s">
        <v>74</v>
      </c>
      <c r="U501" s="148">
        <v>23803600</v>
      </c>
      <c r="V501" s="148">
        <v>23803600</v>
      </c>
      <c r="W501" s="165" t="s">
        <v>62</v>
      </c>
      <c r="X501" s="147" t="s">
        <v>1344</v>
      </c>
      <c r="Y501" s="147" t="s">
        <v>1315</v>
      </c>
      <c r="Z501" s="147" t="s">
        <v>103</v>
      </c>
      <c r="AA501" s="147">
        <v>6012220601</v>
      </c>
      <c r="AB501" s="160" t="s">
        <v>104</v>
      </c>
      <c r="AC501" s="14"/>
      <c r="AD501" s="14"/>
      <c r="AE501" s="14"/>
      <c r="AF501" s="14"/>
      <c r="AG501" s="14"/>
      <c r="AH501" s="14"/>
      <c r="AI501" s="14"/>
      <c r="AJ501" s="14"/>
      <c r="AK501" s="14"/>
      <c r="AL501" s="14"/>
      <c r="AM501" s="14"/>
      <c r="AN501" s="14"/>
      <c r="AO501" s="14"/>
      <c r="AP501" s="14"/>
      <c r="AQ501" s="14"/>
      <c r="AR501" s="14"/>
      <c r="AS501" s="14"/>
      <c r="AT501" s="14"/>
      <c r="AU501" s="25"/>
      <c r="AV501" s="25">
        <v>2975450</v>
      </c>
      <c r="AW501" s="25"/>
      <c r="AX501" s="25">
        <v>2975450</v>
      </c>
      <c r="AY501" s="25"/>
      <c r="AZ501" s="25">
        <v>5950900</v>
      </c>
      <c r="BA501" s="17"/>
      <c r="BB501" s="17"/>
      <c r="BC501" s="18">
        <f t="shared" si="251"/>
        <v>0</v>
      </c>
      <c r="BD501" s="18">
        <f t="shared" si="252"/>
        <v>11901800</v>
      </c>
      <c r="BE501" s="19">
        <f t="shared" si="253"/>
        <v>-11901800</v>
      </c>
      <c r="BF501" s="20">
        <f t="shared" si="254"/>
        <v>23803600</v>
      </c>
      <c r="BG501" s="20">
        <f t="shared" si="255"/>
        <v>11901800</v>
      </c>
    </row>
    <row r="502" spans="1:59" ht="14.25" customHeight="1">
      <c r="A502" s="147" t="s">
        <v>1311</v>
      </c>
      <c r="B502" s="147" t="s">
        <v>60</v>
      </c>
      <c r="C502" s="151" t="s">
        <v>733</v>
      </c>
      <c r="D502" s="151" t="s">
        <v>62</v>
      </c>
      <c r="E502" s="151" t="s">
        <v>114</v>
      </c>
      <c r="F502" s="149" t="s">
        <v>1345</v>
      </c>
      <c r="G502" s="147" t="s">
        <v>733</v>
      </c>
      <c r="H502" s="147" t="s">
        <v>733</v>
      </c>
      <c r="I502" s="147" t="s">
        <v>733</v>
      </c>
      <c r="J502" s="164">
        <v>55101519</v>
      </c>
      <c r="K502" s="147" t="s">
        <v>1346</v>
      </c>
      <c r="L502" s="147" t="s">
        <v>131</v>
      </c>
      <c r="M502" s="147" t="s">
        <v>1347</v>
      </c>
      <c r="N502" s="147" t="s">
        <v>91</v>
      </c>
      <c r="O502" s="147" t="s">
        <v>91</v>
      </c>
      <c r="P502" s="147" t="s">
        <v>85</v>
      </c>
      <c r="Q502" s="147">
        <v>10</v>
      </c>
      <c r="R502" s="147" t="s">
        <v>72</v>
      </c>
      <c r="S502" s="147" t="s">
        <v>222</v>
      </c>
      <c r="T502" s="147" t="s">
        <v>74</v>
      </c>
      <c r="U502" s="148">
        <v>20000000</v>
      </c>
      <c r="V502" s="148">
        <v>20000000</v>
      </c>
      <c r="W502" s="165" t="s">
        <v>62</v>
      </c>
      <c r="X502" s="147" t="s">
        <v>1344</v>
      </c>
      <c r="Y502" s="147" t="s">
        <v>1315</v>
      </c>
      <c r="Z502" s="147" t="s">
        <v>103</v>
      </c>
      <c r="AA502" s="147">
        <v>6012220601</v>
      </c>
      <c r="AB502" s="160" t="s">
        <v>104</v>
      </c>
      <c r="AC502" s="14"/>
      <c r="AD502" s="14"/>
      <c r="AE502" s="14"/>
      <c r="AF502" s="14"/>
      <c r="AG502" s="14"/>
      <c r="AH502" s="14"/>
      <c r="AI502" s="14"/>
      <c r="AJ502" s="14"/>
      <c r="AK502" s="14"/>
      <c r="AL502" s="14"/>
      <c r="AM502" s="14"/>
      <c r="AN502" s="14"/>
      <c r="AO502" s="14"/>
      <c r="AP502" s="14"/>
      <c r="AQ502" s="14"/>
      <c r="AR502" s="14"/>
      <c r="AS502" s="14"/>
      <c r="AT502" s="14"/>
      <c r="AU502" s="25"/>
      <c r="AV502" s="25">
        <v>2000000</v>
      </c>
      <c r="AW502" s="25"/>
      <c r="AX502" s="25">
        <v>2000000</v>
      </c>
      <c r="AY502" s="25"/>
      <c r="AZ502" s="25">
        <v>2000000</v>
      </c>
      <c r="BA502" s="17"/>
      <c r="BB502" s="17"/>
      <c r="BC502" s="18">
        <f t="shared" si="251"/>
        <v>0</v>
      </c>
      <c r="BD502" s="18">
        <f t="shared" si="252"/>
        <v>6000000</v>
      </c>
      <c r="BE502" s="19">
        <f t="shared" si="253"/>
        <v>-6000000</v>
      </c>
      <c r="BF502" s="20">
        <f t="shared" si="254"/>
        <v>20000000</v>
      </c>
      <c r="BG502" s="20">
        <f t="shared" si="255"/>
        <v>14000000</v>
      </c>
    </row>
    <row r="503" spans="1:59" ht="14.25" customHeight="1">
      <c r="A503" s="147" t="s">
        <v>1311</v>
      </c>
      <c r="B503" s="147" t="s">
        <v>60</v>
      </c>
      <c r="C503" s="151" t="s">
        <v>733</v>
      </c>
      <c r="D503" s="151" t="s">
        <v>62</v>
      </c>
      <c r="E503" s="151">
        <v>32</v>
      </c>
      <c r="F503" s="149" t="s">
        <v>1348</v>
      </c>
      <c r="G503" s="147" t="s">
        <v>733</v>
      </c>
      <c r="H503" s="147" t="s">
        <v>733</v>
      </c>
      <c r="I503" s="147" t="s">
        <v>733</v>
      </c>
      <c r="J503" s="164">
        <v>90101604</v>
      </c>
      <c r="K503" s="147" t="s">
        <v>1349</v>
      </c>
      <c r="L503" s="147" t="s">
        <v>131</v>
      </c>
      <c r="M503" s="147" t="s">
        <v>1350</v>
      </c>
      <c r="N503" s="147" t="s">
        <v>91</v>
      </c>
      <c r="O503" s="147" t="s">
        <v>91</v>
      </c>
      <c r="P503" s="147" t="s">
        <v>85</v>
      </c>
      <c r="Q503" s="147">
        <v>10</v>
      </c>
      <c r="R503" s="147" t="s">
        <v>72</v>
      </c>
      <c r="S503" s="147" t="s">
        <v>222</v>
      </c>
      <c r="T503" s="147" t="s">
        <v>74</v>
      </c>
      <c r="U503" s="148">
        <v>10000000</v>
      </c>
      <c r="V503" s="148">
        <v>10000000</v>
      </c>
      <c r="W503" s="147" t="s">
        <v>75</v>
      </c>
      <c r="X503" s="147" t="s">
        <v>67</v>
      </c>
      <c r="Y503" s="147" t="s">
        <v>1315</v>
      </c>
      <c r="Z503" s="147" t="s">
        <v>103</v>
      </c>
      <c r="AA503" s="147">
        <v>6012220601</v>
      </c>
      <c r="AB503" s="160" t="s">
        <v>104</v>
      </c>
      <c r="AC503" s="14"/>
      <c r="AD503" s="14"/>
      <c r="AE503" s="14"/>
      <c r="AF503" s="14"/>
      <c r="AG503" s="14"/>
      <c r="AH503" s="14"/>
      <c r="AI503" s="14"/>
      <c r="AJ503" s="14"/>
      <c r="AK503" s="14"/>
      <c r="AL503" s="14"/>
      <c r="AM503" s="14"/>
      <c r="AN503" s="14"/>
      <c r="AO503" s="14"/>
      <c r="AP503" s="14"/>
      <c r="AQ503" s="14"/>
      <c r="AR503" s="14"/>
      <c r="AS503" s="14"/>
      <c r="AT503" s="14"/>
      <c r="AU503" s="25"/>
      <c r="AV503" s="25">
        <v>2000000</v>
      </c>
      <c r="AW503" s="25"/>
      <c r="AX503" s="25">
        <v>2000000</v>
      </c>
      <c r="AY503" s="25"/>
      <c r="AZ503" s="25">
        <v>2000000</v>
      </c>
      <c r="BA503" s="17"/>
      <c r="BB503" s="17"/>
      <c r="BC503" s="18">
        <f t="shared" si="251"/>
        <v>0</v>
      </c>
      <c r="BD503" s="18">
        <f t="shared" si="252"/>
        <v>6000000</v>
      </c>
      <c r="BE503" s="19">
        <f t="shared" si="253"/>
        <v>-6000000</v>
      </c>
      <c r="BF503" s="20">
        <f t="shared" si="254"/>
        <v>10000000</v>
      </c>
      <c r="BG503" s="20">
        <f t="shared" si="255"/>
        <v>4000000</v>
      </c>
    </row>
    <row r="504" spans="1:59" ht="14.25" customHeight="1">
      <c r="A504" s="147" t="s">
        <v>1311</v>
      </c>
      <c r="B504" s="147" t="s">
        <v>60</v>
      </c>
      <c r="C504" s="151" t="s">
        <v>733</v>
      </c>
      <c r="D504" s="151" t="s">
        <v>62</v>
      </c>
      <c r="E504" s="151" t="s">
        <v>114</v>
      </c>
      <c r="F504" s="149" t="s">
        <v>1351</v>
      </c>
      <c r="G504" s="147" t="s">
        <v>733</v>
      </c>
      <c r="H504" s="147" t="s">
        <v>733</v>
      </c>
      <c r="I504" s="147" t="s">
        <v>733</v>
      </c>
      <c r="J504" s="164" t="s">
        <v>1352</v>
      </c>
      <c r="K504" s="147" t="s">
        <v>1353</v>
      </c>
      <c r="L504" s="147" t="s">
        <v>131</v>
      </c>
      <c r="M504" s="147" t="s">
        <v>1354</v>
      </c>
      <c r="N504" s="147" t="s">
        <v>226</v>
      </c>
      <c r="O504" s="147" t="s">
        <v>226</v>
      </c>
      <c r="P504" s="147" t="s">
        <v>226</v>
      </c>
      <c r="Q504" s="147">
        <v>12</v>
      </c>
      <c r="R504" s="147" t="s">
        <v>72</v>
      </c>
      <c r="S504" s="147" t="s">
        <v>222</v>
      </c>
      <c r="T504" s="147" t="s">
        <v>74</v>
      </c>
      <c r="U504" s="148">
        <v>2500000</v>
      </c>
      <c r="V504" s="148">
        <v>2500000</v>
      </c>
      <c r="W504" s="147" t="s">
        <v>75</v>
      </c>
      <c r="X504" s="147" t="s">
        <v>67</v>
      </c>
      <c r="Y504" s="147" t="s">
        <v>1315</v>
      </c>
      <c r="Z504" s="147" t="s">
        <v>103</v>
      </c>
      <c r="AA504" s="147">
        <v>6012220601</v>
      </c>
      <c r="AB504" s="160" t="s">
        <v>104</v>
      </c>
      <c r="AC504" s="14"/>
      <c r="AD504" s="14"/>
      <c r="AE504" s="14"/>
      <c r="AF504" s="14"/>
      <c r="AG504" s="14"/>
      <c r="AH504" s="14"/>
      <c r="AI504" s="14"/>
      <c r="AJ504" s="14"/>
      <c r="AK504" s="14"/>
      <c r="AL504" s="14"/>
      <c r="AM504" s="14"/>
      <c r="AN504" s="14"/>
      <c r="AO504" s="14"/>
      <c r="AP504" s="14"/>
      <c r="AQ504" s="14"/>
      <c r="AR504" s="14"/>
      <c r="AS504" s="14"/>
      <c r="AT504" s="14"/>
      <c r="AU504" s="25"/>
      <c r="AV504" s="25"/>
      <c r="AW504" s="25">
        <v>2500000</v>
      </c>
      <c r="AX504" s="25"/>
      <c r="AY504" s="25"/>
      <c r="AZ504" s="25">
        <v>2500000</v>
      </c>
      <c r="BA504" s="17"/>
      <c r="BB504" s="17"/>
      <c r="BC504" s="18">
        <f t="shared" si="251"/>
        <v>2500000</v>
      </c>
      <c r="BD504" s="18">
        <f t="shared" si="252"/>
        <v>2500000</v>
      </c>
      <c r="BE504" s="19">
        <f t="shared" si="253"/>
        <v>0</v>
      </c>
      <c r="BF504" s="20">
        <f t="shared" si="254"/>
        <v>0</v>
      </c>
      <c r="BG504" s="20">
        <f t="shared" si="255"/>
        <v>0</v>
      </c>
    </row>
    <row r="505" spans="1:59" ht="14.25" customHeight="1">
      <c r="A505" s="147" t="s">
        <v>1311</v>
      </c>
      <c r="B505" s="147" t="s">
        <v>60</v>
      </c>
      <c r="C505" s="151" t="s">
        <v>733</v>
      </c>
      <c r="D505" s="151" t="s">
        <v>62</v>
      </c>
      <c r="E505" s="151" t="s">
        <v>114</v>
      </c>
      <c r="F505" s="149" t="s">
        <v>1355</v>
      </c>
      <c r="G505" s="147" t="s">
        <v>733</v>
      </c>
      <c r="H505" s="147" t="s">
        <v>733</v>
      </c>
      <c r="I505" s="147" t="s">
        <v>733</v>
      </c>
      <c r="J505" s="164" t="s">
        <v>1356</v>
      </c>
      <c r="K505" s="147" t="s">
        <v>1353</v>
      </c>
      <c r="L505" s="147" t="s">
        <v>131</v>
      </c>
      <c r="M505" s="147" t="s">
        <v>1357</v>
      </c>
      <c r="N505" s="147" t="s">
        <v>86</v>
      </c>
      <c r="O505" s="147" t="s">
        <v>99</v>
      </c>
      <c r="P505" s="147" t="s">
        <v>127</v>
      </c>
      <c r="Q505" s="147">
        <v>12</v>
      </c>
      <c r="R505" s="147" t="s">
        <v>72</v>
      </c>
      <c r="S505" s="147" t="s">
        <v>222</v>
      </c>
      <c r="T505" s="147" t="s">
        <v>74</v>
      </c>
      <c r="U505" s="148">
        <v>300000000</v>
      </c>
      <c r="V505" s="148">
        <v>300000000</v>
      </c>
      <c r="W505" s="165" t="s">
        <v>62</v>
      </c>
      <c r="X505" s="147" t="s">
        <v>1344</v>
      </c>
      <c r="Y505" s="147" t="s">
        <v>1315</v>
      </c>
      <c r="Z505" s="147" t="s">
        <v>103</v>
      </c>
      <c r="AA505" s="147">
        <v>6012220601</v>
      </c>
      <c r="AB505" s="160" t="s">
        <v>104</v>
      </c>
      <c r="AC505" s="14"/>
      <c r="AD505" s="14"/>
      <c r="AE505" s="14"/>
      <c r="AF505" s="14"/>
      <c r="AG505" s="14"/>
      <c r="AH505" s="14"/>
      <c r="AI505" s="14"/>
      <c r="AJ505" s="14"/>
      <c r="AK505" s="14"/>
      <c r="AL505" s="14"/>
      <c r="AM505" s="14"/>
      <c r="AN505" s="14"/>
      <c r="AO505" s="14"/>
      <c r="AP505" s="14"/>
      <c r="AQ505" s="14"/>
      <c r="AR505" s="14"/>
      <c r="AS505" s="14"/>
      <c r="AT505" s="14"/>
      <c r="AU505" s="25"/>
      <c r="AV505" s="25"/>
      <c r="AW505" s="25"/>
      <c r="AX505" s="25"/>
      <c r="AY505" s="25"/>
      <c r="AZ505" s="25"/>
      <c r="BA505" s="17"/>
      <c r="BB505" s="17"/>
      <c r="BC505" s="18">
        <f t="shared" si="251"/>
        <v>0</v>
      </c>
      <c r="BD505" s="18">
        <f t="shared" si="252"/>
        <v>0</v>
      </c>
      <c r="BE505" s="19">
        <f t="shared" si="253"/>
        <v>0</v>
      </c>
      <c r="BF505" s="20">
        <f t="shared" si="254"/>
        <v>300000000</v>
      </c>
      <c r="BG505" s="20">
        <f t="shared" si="255"/>
        <v>300000000</v>
      </c>
    </row>
    <row r="506" spans="1:59" ht="14.25" customHeight="1">
      <c r="A506" s="147" t="s">
        <v>1311</v>
      </c>
      <c r="B506" s="147" t="s">
        <v>60</v>
      </c>
      <c r="C506" s="151" t="s">
        <v>733</v>
      </c>
      <c r="D506" s="151" t="s">
        <v>62</v>
      </c>
      <c r="E506" s="151">
        <v>30</v>
      </c>
      <c r="F506" s="149" t="s">
        <v>1358</v>
      </c>
      <c r="G506" s="147" t="s">
        <v>733</v>
      </c>
      <c r="H506" s="147" t="s">
        <v>733</v>
      </c>
      <c r="I506" s="147" t="s">
        <v>733</v>
      </c>
      <c r="J506" s="164" t="s">
        <v>1352</v>
      </c>
      <c r="K506" s="147" t="s">
        <v>1353</v>
      </c>
      <c r="L506" s="147" t="s">
        <v>131</v>
      </c>
      <c r="M506" s="147" t="s">
        <v>1359</v>
      </c>
      <c r="N506" s="147" t="s">
        <v>86</v>
      </c>
      <c r="O506" s="147" t="s">
        <v>99</v>
      </c>
      <c r="P506" s="147" t="s">
        <v>127</v>
      </c>
      <c r="Q506" s="147">
        <v>12</v>
      </c>
      <c r="R506" s="147" t="s">
        <v>72</v>
      </c>
      <c r="S506" s="147" t="s">
        <v>222</v>
      </c>
      <c r="T506" s="147" t="s">
        <v>74</v>
      </c>
      <c r="U506" s="148">
        <v>0</v>
      </c>
      <c r="V506" s="148">
        <v>0</v>
      </c>
      <c r="W506" s="147" t="s">
        <v>75</v>
      </c>
      <c r="X506" s="147" t="s">
        <v>67</v>
      </c>
      <c r="Y506" s="147" t="s">
        <v>1315</v>
      </c>
      <c r="Z506" s="147" t="s">
        <v>103</v>
      </c>
      <c r="AA506" s="147">
        <v>6012220601</v>
      </c>
      <c r="AB506" s="160" t="s">
        <v>104</v>
      </c>
      <c r="AC506" s="14"/>
      <c r="AD506" s="14"/>
      <c r="AE506" s="14"/>
      <c r="AF506" s="14"/>
      <c r="AG506" s="14"/>
      <c r="AH506" s="14"/>
      <c r="AI506" s="14"/>
      <c r="AJ506" s="14"/>
      <c r="AK506" s="14"/>
      <c r="AL506" s="14"/>
      <c r="AM506" s="14"/>
      <c r="AN506" s="14"/>
      <c r="AO506" s="14"/>
      <c r="AP506" s="14"/>
      <c r="AQ506" s="14"/>
      <c r="AR506" s="14"/>
      <c r="AS506" s="14"/>
      <c r="AT506" s="14"/>
      <c r="AU506" s="25"/>
      <c r="AV506" s="25"/>
      <c r="AW506" s="25"/>
      <c r="AX506" s="25"/>
      <c r="AY506" s="25"/>
      <c r="AZ506" s="25"/>
      <c r="BA506" s="17"/>
      <c r="BB506" s="17"/>
      <c r="BC506" s="18">
        <f t="shared" si="251"/>
        <v>0</v>
      </c>
      <c r="BD506" s="18">
        <f t="shared" si="252"/>
        <v>0</v>
      </c>
      <c r="BE506" s="19">
        <f t="shared" si="253"/>
        <v>0</v>
      </c>
      <c r="BF506" s="20">
        <f t="shared" si="254"/>
        <v>0</v>
      </c>
      <c r="BG506" s="20">
        <f t="shared" si="255"/>
        <v>0</v>
      </c>
    </row>
    <row r="507" spans="1:59" ht="14.25" customHeight="1">
      <c r="A507" s="147" t="s">
        <v>1311</v>
      </c>
      <c r="B507" s="147" t="s">
        <v>60</v>
      </c>
      <c r="C507" s="151" t="s">
        <v>733</v>
      </c>
      <c r="D507" s="151" t="s">
        <v>62</v>
      </c>
      <c r="E507" s="151" t="s">
        <v>114</v>
      </c>
      <c r="F507" s="149" t="s">
        <v>1360</v>
      </c>
      <c r="G507" s="147" t="s">
        <v>733</v>
      </c>
      <c r="H507" s="147" t="s">
        <v>733</v>
      </c>
      <c r="I507" s="147" t="s">
        <v>733</v>
      </c>
      <c r="J507" s="164">
        <v>15101506</v>
      </c>
      <c r="K507" s="147" t="s">
        <v>1361</v>
      </c>
      <c r="L507" s="147" t="s">
        <v>131</v>
      </c>
      <c r="M507" s="147" t="s">
        <v>1362</v>
      </c>
      <c r="N507" s="147" t="s">
        <v>91</v>
      </c>
      <c r="O507" s="147" t="s">
        <v>91</v>
      </c>
      <c r="P507" s="147" t="s">
        <v>91</v>
      </c>
      <c r="Q507" s="147">
        <v>11</v>
      </c>
      <c r="R507" s="147" t="s">
        <v>72</v>
      </c>
      <c r="S507" s="147" t="s">
        <v>222</v>
      </c>
      <c r="T507" s="147" t="s">
        <v>74</v>
      </c>
      <c r="U507" s="148">
        <v>14000000</v>
      </c>
      <c r="V507" s="148">
        <v>14000000</v>
      </c>
      <c r="W507" s="147" t="s">
        <v>75</v>
      </c>
      <c r="X507" s="147" t="s">
        <v>67</v>
      </c>
      <c r="Y507" s="147" t="s">
        <v>1315</v>
      </c>
      <c r="Z507" s="147" t="s">
        <v>103</v>
      </c>
      <c r="AA507" s="147">
        <v>6012220601</v>
      </c>
      <c r="AB507" s="160" t="s">
        <v>104</v>
      </c>
      <c r="AC507" s="14"/>
      <c r="AD507" s="14"/>
      <c r="AE507" s="14"/>
      <c r="AF507" s="14"/>
      <c r="AG507" s="14"/>
      <c r="AH507" s="14"/>
      <c r="AI507" s="14"/>
      <c r="AJ507" s="14"/>
      <c r="AK507" s="14"/>
      <c r="AL507" s="14"/>
      <c r="AM507" s="14"/>
      <c r="AN507" s="14"/>
      <c r="AO507" s="14"/>
      <c r="AP507" s="14"/>
      <c r="AQ507" s="14"/>
      <c r="AR507" s="14"/>
      <c r="AS507" s="14"/>
      <c r="AT507" s="14"/>
      <c r="AU507" s="25"/>
      <c r="AV507" s="25">
        <v>1272727</v>
      </c>
      <c r="AW507" s="25"/>
      <c r="AX507" s="25">
        <v>1272727</v>
      </c>
      <c r="AY507" s="25"/>
      <c r="AZ507" s="25">
        <v>1272730</v>
      </c>
      <c r="BA507" s="17"/>
      <c r="BB507" s="17"/>
      <c r="BC507" s="18">
        <f t="shared" si="251"/>
        <v>0</v>
      </c>
      <c r="BD507" s="18">
        <f t="shared" si="252"/>
        <v>3818184</v>
      </c>
      <c r="BE507" s="19">
        <f t="shared" si="253"/>
        <v>-3818184</v>
      </c>
      <c r="BF507" s="20">
        <f t="shared" si="254"/>
        <v>14000000</v>
      </c>
      <c r="BG507" s="20">
        <f t="shared" si="255"/>
        <v>10181816</v>
      </c>
    </row>
    <row r="508" spans="1:59" ht="14.25" customHeight="1">
      <c r="A508" s="147" t="s">
        <v>1311</v>
      </c>
      <c r="B508" s="147" t="s">
        <v>60</v>
      </c>
      <c r="C508" s="151" t="s">
        <v>733</v>
      </c>
      <c r="D508" s="151" t="s">
        <v>62</v>
      </c>
      <c r="E508" s="151" t="s">
        <v>114</v>
      </c>
      <c r="F508" s="149" t="s">
        <v>1363</v>
      </c>
      <c r="G508" s="147" t="s">
        <v>733</v>
      </c>
      <c r="H508" s="147" t="s">
        <v>733</v>
      </c>
      <c r="I508" s="147" t="s">
        <v>733</v>
      </c>
      <c r="J508" s="164">
        <v>80111707</v>
      </c>
      <c r="K508" s="147" t="s">
        <v>1364</v>
      </c>
      <c r="L508" s="147" t="s">
        <v>131</v>
      </c>
      <c r="M508" s="147" t="s">
        <v>1365</v>
      </c>
      <c r="N508" s="147" t="s">
        <v>86</v>
      </c>
      <c r="O508" s="147" t="s">
        <v>86</v>
      </c>
      <c r="P508" s="147" t="s">
        <v>86</v>
      </c>
      <c r="Q508" s="147">
        <v>9</v>
      </c>
      <c r="R508" s="147" t="s">
        <v>72</v>
      </c>
      <c r="S508" s="147" t="s">
        <v>222</v>
      </c>
      <c r="T508" s="147" t="s">
        <v>74</v>
      </c>
      <c r="U508" s="148">
        <v>9000000</v>
      </c>
      <c r="V508" s="148">
        <v>9000000</v>
      </c>
      <c r="W508" s="147" t="s">
        <v>75</v>
      </c>
      <c r="X508" s="147" t="s">
        <v>67</v>
      </c>
      <c r="Y508" s="147" t="s">
        <v>1315</v>
      </c>
      <c r="Z508" s="147" t="s">
        <v>103</v>
      </c>
      <c r="AA508" s="147">
        <v>6012220601</v>
      </c>
      <c r="AB508" s="160" t="s">
        <v>104</v>
      </c>
      <c r="AC508" s="14"/>
      <c r="AD508" s="14"/>
      <c r="AE508" s="14"/>
      <c r="AF508" s="14"/>
      <c r="AG508" s="14"/>
      <c r="AH508" s="14"/>
      <c r="AI508" s="14"/>
      <c r="AJ508" s="14"/>
      <c r="AK508" s="14"/>
      <c r="AL508" s="14"/>
      <c r="AM508" s="14"/>
      <c r="AN508" s="14"/>
      <c r="AO508" s="14"/>
      <c r="AP508" s="14"/>
      <c r="AQ508" s="14"/>
      <c r="AR508" s="14"/>
      <c r="AS508" s="14"/>
      <c r="AT508" s="14"/>
      <c r="AU508" s="25"/>
      <c r="AV508" s="25"/>
      <c r="AW508" s="25"/>
      <c r="AX508" s="25"/>
      <c r="AY508" s="25"/>
      <c r="AZ508" s="25">
        <v>3000000</v>
      </c>
      <c r="BA508" s="17"/>
      <c r="BB508" s="17"/>
      <c r="BC508" s="18">
        <f t="shared" si="251"/>
        <v>0</v>
      </c>
      <c r="BD508" s="18">
        <f t="shared" si="252"/>
        <v>3000000</v>
      </c>
      <c r="BE508" s="19">
        <f t="shared" si="253"/>
        <v>-3000000</v>
      </c>
      <c r="BF508" s="20">
        <f t="shared" si="254"/>
        <v>9000000</v>
      </c>
      <c r="BG508" s="20">
        <f t="shared" si="255"/>
        <v>6000000</v>
      </c>
    </row>
    <row r="509" spans="1:59" ht="14.25" customHeight="1">
      <c r="A509" s="147" t="s">
        <v>1311</v>
      </c>
      <c r="B509" s="147" t="s">
        <v>60</v>
      </c>
      <c r="C509" s="151" t="s">
        <v>733</v>
      </c>
      <c r="D509" s="151" t="s">
        <v>62</v>
      </c>
      <c r="E509" s="151">
        <v>47</v>
      </c>
      <c r="F509" s="149" t="s">
        <v>1366</v>
      </c>
      <c r="G509" s="147" t="s">
        <v>733</v>
      </c>
      <c r="H509" s="147" t="s">
        <v>733</v>
      </c>
      <c r="I509" s="147" t="s">
        <v>733</v>
      </c>
      <c r="J509" s="164">
        <v>45101515</v>
      </c>
      <c r="K509" s="147" t="s">
        <v>1367</v>
      </c>
      <c r="L509" s="147" t="s">
        <v>131</v>
      </c>
      <c r="M509" s="147" t="s">
        <v>1368</v>
      </c>
      <c r="N509" s="147" t="s">
        <v>99</v>
      </c>
      <c r="O509" s="147" t="s">
        <v>99</v>
      </c>
      <c r="P509" s="147" t="s">
        <v>99</v>
      </c>
      <c r="Q509" s="147">
        <v>8</v>
      </c>
      <c r="R509" s="147" t="s">
        <v>72</v>
      </c>
      <c r="S509" s="147" t="s">
        <v>222</v>
      </c>
      <c r="T509" s="147" t="s">
        <v>74</v>
      </c>
      <c r="U509" s="148">
        <v>15386700</v>
      </c>
      <c r="V509" s="148">
        <v>15386700</v>
      </c>
      <c r="W509" s="147" t="s">
        <v>75</v>
      </c>
      <c r="X509" s="147" t="s">
        <v>67</v>
      </c>
      <c r="Y509" s="147" t="s">
        <v>1315</v>
      </c>
      <c r="Z509" s="147" t="s">
        <v>103</v>
      </c>
      <c r="AA509" s="147">
        <v>6012220601</v>
      </c>
      <c r="AB509" s="160" t="s">
        <v>104</v>
      </c>
      <c r="AC509" s="14"/>
      <c r="AD509" s="14"/>
      <c r="AE509" s="14"/>
      <c r="AF509" s="14"/>
      <c r="AG509" s="14"/>
      <c r="AH509" s="14"/>
      <c r="AI509" s="14"/>
      <c r="AJ509" s="14"/>
      <c r="AK509" s="14"/>
      <c r="AL509" s="14"/>
      <c r="AM509" s="14"/>
      <c r="AN509" s="14"/>
      <c r="AO509" s="14"/>
      <c r="AP509" s="14"/>
      <c r="AQ509" s="14"/>
      <c r="AR509" s="14"/>
      <c r="AS509" s="14"/>
      <c r="AT509" s="14"/>
      <c r="AU509" s="25"/>
      <c r="AV509" s="25"/>
      <c r="AW509" s="25"/>
      <c r="AX509" s="25"/>
      <c r="AY509" s="25"/>
      <c r="AZ509" s="25"/>
      <c r="BA509" s="17"/>
      <c r="BB509" s="17"/>
      <c r="BC509" s="18">
        <f t="shared" si="251"/>
        <v>0</v>
      </c>
      <c r="BD509" s="18">
        <f t="shared" si="252"/>
        <v>0</v>
      </c>
      <c r="BE509" s="19">
        <f t="shared" si="253"/>
        <v>0</v>
      </c>
      <c r="BF509" s="20">
        <f t="shared" si="254"/>
        <v>15386700</v>
      </c>
      <c r="BG509" s="20">
        <f t="shared" si="255"/>
        <v>15386700</v>
      </c>
    </row>
    <row r="510" spans="1:59" ht="14.25" customHeight="1">
      <c r="A510" s="147" t="s">
        <v>1311</v>
      </c>
      <c r="B510" s="147" t="s">
        <v>60</v>
      </c>
      <c r="C510" s="151" t="s">
        <v>733</v>
      </c>
      <c r="D510" s="151" t="s">
        <v>62</v>
      </c>
      <c r="E510" s="151">
        <v>19</v>
      </c>
      <c r="F510" s="149" t="s">
        <v>1369</v>
      </c>
      <c r="G510" s="147" t="s">
        <v>733</v>
      </c>
      <c r="H510" s="147" t="s">
        <v>733</v>
      </c>
      <c r="I510" s="147" t="s">
        <v>733</v>
      </c>
      <c r="J510" s="164">
        <v>81112501</v>
      </c>
      <c r="K510" s="147" t="s">
        <v>1370</v>
      </c>
      <c r="L510" s="147" t="s">
        <v>131</v>
      </c>
      <c r="M510" s="147" t="s">
        <v>1371</v>
      </c>
      <c r="N510" s="147" t="s">
        <v>99</v>
      </c>
      <c r="O510" s="147" t="s">
        <v>99</v>
      </c>
      <c r="P510" s="147" t="s">
        <v>127</v>
      </c>
      <c r="Q510" s="147">
        <v>8</v>
      </c>
      <c r="R510" s="147" t="s">
        <v>72</v>
      </c>
      <c r="S510" s="147" t="s">
        <v>222</v>
      </c>
      <c r="T510" s="147" t="s">
        <v>74</v>
      </c>
      <c r="U510" s="148">
        <v>2842125</v>
      </c>
      <c r="V510" s="148">
        <v>2842125</v>
      </c>
      <c r="W510" s="165" t="s">
        <v>62</v>
      </c>
      <c r="X510" s="147" t="s">
        <v>1344</v>
      </c>
      <c r="Y510" s="147" t="s">
        <v>1315</v>
      </c>
      <c r="Z510" s="147" t="s">
        <v>103</v>
      </c>
      <c r="AA510" s="147">
        <v>6012220601</v>
      </c>
      <c r="AB510" s="160" t="s">
        <v>104</v>
      </c>
      <c r="AC510" s="14"/>
      <c r="AD510" s="14"/>
      <c r="AE510" s="14"/>
      <c r="AF510" s="14"/>
      <c r="AG510" s="14"/>
      <c r="AH510" s="14"/>
      <c r="AI510" s="14"/>
      <c r="AJ510" s="14"/>
      <c r="AK510" s="14"/>
      <c r="AL510" s="14"/>
      <c r="AM510" s="14"/>
      <c r="AN510" s="14"/>
      <c r="AO510" s="14"/>
      <c r="AP510" s="14"/>
      <c r="AQ510" s="14"/>
      <c r="AR510" s="14"/>
      <c r="AS510" s="14"/>
      <c r="AT510" s="14"/>
      <c r="AU510" s="25"/>
      <c r="AV510" s="25"/>
      <c r="AW510" s="25">
        <v>2842125</v>
      </c>
      <c r="AX510" s="25"/>
      <c r="AY510" s="25"/>
      <c r="AZ510" s="25">
        <v>2842125</v>
      </c>
      <c r="BA510" s="17"/>
      <c r="BB510" s="17"/>
      <c r="BC510" s="18">
        <f t="shared" si="251"/>
        <v>2842125</v>
      </c>
      <c r="BD510" s="18">
        <f t="shared" si="252"/>
        <v>2842125</v>
      </c>
      <c r="BE510" s="19">
        <f t="shared" si="253"/>
        <v>0</v>
      </c>
      <c r="BF510" s="20">
        <f t="shared" si="254"/>
        <v>0</v>
      </c>
      <c r="BG510" s="20">
        <f t="shared" si="255"/>
        <v>0</v>
      </c>
    </row>
    <row r="511" spans="1:59" ht="14.25" customHeight="1">
      <c r="A511" s="147" t="s">
        <v>1311</v>
      </c>
      <c r="B511" s="147" t="s">
        <v>60</v>
      </c>
      <c r="C511" s="151" t="s">
        <v>733</v>
      </c>
      <c r="D511" s="151" t="s">
        <v>62</v>
      </c>
      <c r="E511" s="151" t="s">
        <v>114</v>
      </c>
      <c r="F511" s="149" t="s">
        <v>1372</v>
      </c>
      <c r="G511" s="147" t="s">
        <v>733</v>
      </c>
      <c r="H511" s="147" t="s">
        <v>733</v>
      </c>
      <c r="I511" s="147" t="s">
        <v>733</v>
      </c>
      <c r="J511" s="164">
        <v>44121600</v>
      </c>
      <c r="K511" s="147" t="s">
        <v>1336</v>
      </c>
      <c r="L511" s="147" t="s">
        <v>131</v>
      </c>
      <c r="M511" s="147" t="s">
        <v>1373</v>
      </c>
      <c r="N511" s="147" t="s">
        <v>100</v>
      </c>
      <c r="O511" s="147" t="s">
        <v>100</v>
      </c>
      <c r="P511" s="147" t="s">
        <v>100</v>
      </c>
      <c r="Q511" s="147">
        <v>3</v>
      </c>
      <c r="R511" s="147" t="s">
        <v>72</v>
      </c>
      <c r="S511" s="147" t="s">
        <v>222</v>
      </c>
      <c r="T511" s="147" t="s">
        <v>74</v>
      </c>
      <c r="U511" s="148">
        <v>12000000</v>
      </c>
      <c r="V511" s="148">
        <v>12000000</v>
      </c>
      <c r="W511" s="147" t="s">
        <v>75</v>
      </c>
      <c r="X511" s="147" t="s">
        <v>67</v>
      </c>
      <c r="Y511" s="147" t="s">
        <v>1315</v>
      </c>
      <c r="Z511" s="147" t="s">
        <v>103</v>
      </c>
      <c r="AA511" s="147">
        <v>6012220601</v>
      </c>
      <c r="AB511" s="160" t="s">
        <v>104</v>
      </c>
      <c r="AC511" s="14"/>
      <c r="AD511" s="14"/>
      <c r="AE511" s="14"/>
      <c r="AF511" s="14"/>
      <c r="AG511" s="14"/>
      <c r="AH511" s="14"/>
      <c r="AI511" s="14"/>
      <c r="AJ511" s="14"/>
      <c r="AK511" s="14"/>
      <c r="AL511" s="14"/>
      <c r="AM511" s="14"/>
      <c r="AN511" s="14"/>
      <c r="AO511" s="14"/>
      <c r="AP511" s="14"/>
      <c r="AQ511" s="14"/>
      <c r="AR511" s="14"/>
      <c r="AS511" s="14"/>
      <c r="AT511" s="14"/>
      <c r="AU511" s="25"/>
      <c r="AV511" s="25"/>
      <c r="AW511" s="25"/>
      <c r="AX511" s="25"/>
      <c r="AY511" s="25"/>
      <c r="AZ511" s="25"/>
      <c r="BA511" s="17"/>
      <c r="BB511" s="17"/>
      <c r="BC511" s="18">
        <f t="shared" si="251"/>
        <v>0</v>
      </c>
      <c r="BD511" s="18">
        <f t="shared" si="252"/>
        <v>0</v>
      </c>
      <c r="BE511" s="19">
        <f t="shared" si="253"/>
        <v>0</v>
      </c>
      <c r="BF511" s="20">
        <f t="shared" si="254"/>
        <v>12000000</v>
      </c>
      <c r="BG511" s="20">
        <f t="shared" si="255"/>
        <v>12000000</v>
      </c>
    </row>
    <row r="512" spans="1:59" ht="14.25" customHeight="1">
      <c r="A512" s="147" t="s">
        <v>1311</v>
      </c>
      <c r="B512" s="147" t="s">
        <v>60</v>
      </c>
      <c r="C512" s="151" t="s">
        <v>733</v>
      </c>
      <c r="D512" s="151" t="s">
        <v>62</v>
      </c>
      <c r="E512" s="151" t="s">
        <v>114</v>
      </c>
      <c r="F512" s="149" t="s">
        <v>1374</v>
      </c>
      <c r="G512" s="147" t="s">
        <v>733</v>
      </c>
      <c r="H512" s="147" t="s">
        <v>733</v>
      </c>
      <c r="I512" s="147" t="s">
        <v>733</v>
      </c>
      <c r="J512" s="164">
        <v>85101503</v>
      </c>
      <c r="K512" s="147" t="s">
        <v>1375</v>
      </c>
      <c r="L512" s="147" t="s">
        <v>131</v>
      </c>
      <c r="M512" s="147" t="s">
        <v>1376</v>
      </c>
      <c r="N512" s="147" t="s">
        <v>180</v>
      </c>
      <c r="O512" s="147" t="s">
        <v>180</v>
      </c>
      <c r="P512" s="147" t="s">
        <v>226</v>
      </c>
      <c r="Q512" s="147">
        <v>2</v>
      </c>
      <c r="R512" s="147" t="s">
        <v>72</v>
      </c>
      <c r="S512" s="147" t="s">
        <v>222</v>
      </c>
      <c r="T512" s="147" t="s">
        <v>74</v>
      </c>
      <c r="U512" s="148">
        <v>35000000</v>
      </c>
      <c r="V512" s="148">
        <v>35000000</v>
      </c>
      <c r="W512" s="147" t="s">
        <v>75</v>
      </c>
      <c r="X512" s="147" t="s">
        <v>67</v>
      </c>
      <c r="Y512" s="147" t="s">
        <v>76</v>
      </c>
      <c r="Z512" s="147" t="s">
        <v>77</v>
      </c>
      <c r="AA512" s="147">
        <v>6012220601</v>
      </c>
      <c r="AB512" s="160" t="s">
        <v>78</v>
      </c>
      <c r="AC512" s="14"/>
      <c r="AD512" s="14"/>
      <c r="AE512" s="14"/>
      <c r="AF512" s="14"/>
      <c r="AG512" s="14"/>
      <c r="AH512" s="14"/>
      <c r="AI512" s="14"/>
      <c r="AJ512" s="14"/>
      <c r="AK512" s="14"/>
      <c r="AL512" s="14"/>
      <c r="AM512" s="14"/>
      <c r="AN512" s="14"/>
      <c r="AO512" s="14"/>
      <c r="AP512" s="14"/>
      <c r="AQ512" s="14"/>
      <c r="AR512" s="14"/>
      <c r="AS512" s="14"/>
      <c r="AT512" s="14"/>
      <c r="AU512" s="25"/>
      <c r="AV512" s="25"/>
      <c r="AW512" s="25">
        <v>35000000</v>
      </c>
      <c r="AX512" s="25">
        <v>35000000</v>
      </c>
      <c r="AY512" s="25"/>
      <c r="AZ512" s="25"/>
      <c r="BA512" s="17"/>
      <c r="BB512" s="17"/>
      <c r="BC512" s="18">
        <f t="shared" ref="BC512:BC626" si="259">AC512+AE512+AG512+AI512+AK512+AM512+AO512+AQ512+AS512+AU512+AW512+AY512+BA512</f>
        <v>35000000</v>
      </c>
      <c r="BD512" s="18">
        <f t="shared" si="252"/>
        <v>35000000</v>
      </c>
      <c r="BE512" s="19">
        <f t="shared" si="253"/>
        <v>0</v>
      </c>
      <c r="BF512" s="20">
        <f t="shared" si="254"/>
        <v>0</v>
      </c>
      <c r="BG512" s="20">
        <f t="shared" si="255"/>
        <v>0</v>
      </c>
    </row>
    <row r="513" spans="1:59" ht="14.25" customHeight="1">
      <c r="A513" s="147" t="s">
        <v>1311</v>
      </c>
      <c r="B513" s="147" t="s">
        <v>60</v>
      </c>
      <c r="C513" s="151" t="s">
        <v>733</v>
      </c>
      <c r="D513" s="151" t="s">
        <v>62</v>
      </c>
      <c r="E513" s="151" t="s">
        <v>114</v>
      </c>
      <c r="F513" s="149" t="s">
        <v>1377</v>
      </c>
      <c r="G513" s="147" t="s">
        <v>733</v>
      </c>
      <c r="H513" s="147" t="s">
        <v>733</v>
      </c>
      <c r="I513" s="147" t="s">
        <v>733</v>
      </c>
      <c r="J513" s="164">
        <v>85122201</v>
      </c>
      <c r="K513" s="147" t="s">
        <v>1375</v>
      </c>
      <c r="L513" s="147" t="s">
        <v>131</v>
      </c>
      <c r="M513" s="147" t="s">
        <v>1378</v>
      </c>
      <c r="N513" s="147" t="s">
        <v>85</v>
      </c>
      <c r="O513" s="147" t="s">
        <v>85</v>
      </c>
      <c r="P513" s="147" t="s">
        <v>86</v>
      </c>
      <c r="Q513" s="147">
        <v>10</v>
      </c>
      <c r="R513" s="147" t="s">
        <v>72</v>
      </c>
      <c r="S513" s="147" t="s">
        <v>222</v>
      </c>
      <c r="T513" s="147" t="s">
        <v>74</v>
      </c>
      <c r="U513" s="148">
        <v>17292512</v>
      </c>
      <c r="V513" s="148">
        <v>17292512</v>
      </c>
      <c r="W513" s="147" t="s">
        <v>75</v>
      </c>
      <c r="X513" s="147" t="s">
        <v>67</v>
      </c>
      <c r="Y513" s="147" t="s">
        <v>76</v>
      </c>
      <c r="Z513" s="147" t="s">
        <v>77</v>
      </c>
      <c r="AA513" s="147">
        <v>6012220601</v>
      </c>
      <c r="AB513" s="160" t="s">
        <v>78</v>
      </c>
      <c r="AC513" s="14"/>
      <c r="AD513" s="14"/>
      <c r="AE513" s="14"/>
      <c r="AF513" s="14"/>
      <c r="AG513" s="14"/>
      <c r="AH513" s="14"/>
      <c r="AI513" s="14"/>
      <c r="AJ513" s="14"/>
      <c r="AK513" s="14"/>
      <c r="AL513" s="14"/>
      <c r="AM513" s="14"/>
      <c r="AN513" s="14"/>
      <c r="AO513" s="14"/>
      <c r="AP513" s="14"/>
      <c r="AQ513" s="14"/>
      <c r="AR513" s="14"/>
      <c r="AS513" s="14"/>
      <c r="AT513" s="14"/>
      <c r="AU513" s="25"/>
      <c r="AV513" s="25">
        <v>1600000</v>
      </c>
      <c r="AW513" s="25"/>
      <c r="AX513" s="25">
        <v>1600000</v>
      </c>
      <c r="AY513" s="25"/>
      <c r="AZ513" s="25">
        <v>1007488</v>
      </c>
      <c r="BA513" s="17"/>
      <c r="BB513" s="17"/>
      <c r="BC513" s="18">
        <f t="shared" si="259"/>
        <v>0</v>
      </c>
      <c r="BD513" s="18">
        <f t="shared" ref="BD513:BD626" si="260">AD513+AF513+AH513+AJ513+AL513+AN513+AP513+AR513+AT513+AV513+AX513+AZ513+BB513</f>
        <v>4207488</v>
      </c>
      <c r="BE513" s="19">
        <f t="shared" si="253"/>
        <v>-4207488</v>
      </c>
      <c r="BF513" s="20">
        <f t="shared" si="254"/>
        <v>17292512</v>
      </c>
      <c r="BG513" s="20">
        <f t="shared" si="255"/>
        <v>13085024</v>
      </c>
    </row>
    <row r="514" spans="1:59" ht="14.25" customHeight="1">
      <c r="A514" s="147" t="s">
        <v>1311</v>
      </c>
      <c r="B514" s="147" t="s">
        <v>60</v>
      </c>
      <c r="C514" s="151" t="s">
        <v>733</v>
      </c>
      <c r="D514" s="151" t="s">
        <v>62</v>
      </c>
      <c r="E514" s="151">
        <v>12</v>
      </c>
      <c r="F514" s="149" t="s">
        <v>1379</v>
      </c>
      <c r="G514" s="147" t="s">
        <v>733</v>
      </c>
      <c r="H514" s="147" t="s">
        <v>733</v>
      </c>
      <c r="I514" s="147" t="s">
        <v>733</v>
      </c>
      <c r="J514" s="164">
        <v>93141506</v>
      </c>
      <c r="K514" s="147" t="s">
        <v>1380</v>
      </c>
      <c r="L514" s="147" t="s">
        <v>131</v>
      </c>
      <c r="M514" s="147" t="s">
        <v>1381</v>
      </c>
      <c r="N514" s="147" t="s">
        <v>86</v>
      </c>
      <c r="O514" s="147" t="s">
        <v>86</v>
      </c>
      <c r="P514" s="147" t="s">
        <v>86</v>
      </c>
      <c r="Q514" s="147">
        <v>9</v>
      </c>
      <c r="R514" s="147" t="s">
        <v>72</v>
      </c>
      <c r="S514" s="147" t="s">
        <v>222</v>
      </c>
      <c r="T514" s="147" t="s">
        <v>74</v>
      </c>
      <c r="U514" s="148">
        <v>263000000</v>
      </c>
      <c r="V514" s="148">
        <v>263000000</v>
      </c>
      <c r="W514" s="147" t="s">
        <v>75</v>
      </c>
      <c r="X514" s="147" t="s">
        <v>67</v>
      </c>
      <c r="Y514" s="147" t="s">
        <v>76</v>
      </c>
      <c r="Z514" s="147" t="s">
        <v>77</v>
      </c>
      <c r="AA514" s="147">
        <v>6012220601</v>
      </c>
      <c r="AB514" s="160" t="s">
        <v>78</v>
      </c>
      <c r="AC514" s="14"/>
      <c r="AD514" s="14"/>
      <c r="AE514" s="14"/>
      <c r="AF514" s="14"/>
      <c r="AG514" s="14"/>
      <c r="AH514" s="14"/>
      <c r="AI514" s="14"/>
      <c r="AJ514" s="14"/>
      <c r="AK514" s="14"/>
      <c r="AL514" s="14"/>
      <c r="AM514" s="14"/>
      <c r="AN514" s="14"/>
      <c r="AO514" s="14"/>
      <c r="AP514" s="14"/>
      <c r="AQ514" s="14"/>
      <c r="AR514" s="14"/>
      <c r="AS514" s="14"/>
      <c r="AT514" s="14"/>
      <c r="AU514" s="25"/>
      <c r="AV514" s="25">
        <v>8550000</v>
      </c>
      <c r="AW514" s="25"/>
      <c r="AX514" s="25">
        <v>8550000</v>
      </c>
      <c r="AY514" s="25"/>
      <c r="AZ514" s="25">
        <v>105200000</v>
      </c>
      <c r="BA514" s="17"/>
      <c r="BB514" s="17"/>
      <c r="BC514" s="18">
        <f t="shared" si="259"/>
        <v>0</v>
      </c>
      <c r="BD514" s="18">
        <f t="shared" si="260"/>
        <v>122300000</v>
      </c>
      <c r="BE514" s="19">
        <f t="shared" si="253"/>
        <v>-122300000</v>
      </c>
      <c r="BF514" s="20">
        <f t="shared" si="254"/>
        <v>263000000</v>
      </c>
      <c r="BG514" s="20">
        <f t="shared" si="255"/>
        <v>140700000</v>
      </c>
    </row>
    <row r="515" spans="1:59" ht="14.25" customHeight="1">
      <c r="A515" s="147" t="s">
        <v>1311</v>
      </c>
      <c r="B515" s="147" t="s">
        <v>60</v>
      </c>
      <c r="C515" s="151" t="s">
        <v>733</v>
      </c>
      <c r="D515" s="151" t="s">
        <v>62</v>
      </c>
      <c r="E515" s="151" t="s">
        <v>114</v>
      </c>
      <c r="F515" s="149" t="s">
        <v>1382</v>
      </c>
      <c r="G515" s="147" t="s">
        <v>733</v>
      </c>
      <c r="H515" s="147" t="s">
        <v>733</v>
      </c>
      <c r="I515" s="147" t="s">
        <v>733</v>
      </c>
      <c r="J515" s="164">
        <v>42172001</v>
      </c>
      <c r="K515" s="147" t="s">
        <v>1383</v>
      </c>
      <c r="L515" s="147" t="s">
        <v>131</v>
      </c>
      <c r="M515" s="147" t="s">
        <v>1384</v>
      </c>
      <c r="N515" s="147" t="s">
        <v>127</v>
      </c>
      <c r="O515" s="147" t="s">
        <v>127</v>
      </c>
      <c r="P515" s="147" t="s">
        <v>128</v>
      </c>
      <c r="Q515" s="147">
        <v>5</v>
      </c>
      <c r="R515" s="147" t="s">
        <v>72</v>
      </c>
      <c r="S515" s="147" t="s">
        <v>222</v>
      </c>
      <c r="T515" s="147" t="s">
        <v>74</v>
      </c>
      <c r="U515" s="148">
        <v>4389000</v>
      </c>
      <c r="V515" s="148">
        <v>4389000</v>
      </c>
      <c r="W515" s="147" t="s">
        <v>75</v>
      </c>
      <c r="X515" s="147" t="s">
        <v>67</v>
      </c>
      <c r="Y515" s="147" t="s">
        <v>76</v>
      </c>
      <c r="Z515" s="147" t="s">
        <v>77</v>
      </c>
      <c r="AA515" s="147">
        <v>6012220601</v>
      </c>
      <c r="AB515" s="160" t="s">
        <v>78</v>
      </c>
      <c r="AC515" s="14"/>
      <c r="AD515" s="14"/>
      <c r="AE515" s="14"/>
      <c r="AF515" s="14"/>
      <c r="AG515" s="14"/>
      <c r="AH515" s="14"/>
      <c r="AI515" s="14"/>
      <c r="AJ515" s="14"/>
      <c r="AK515" s="14"/>
      <c r="AL515" s="14"/>
      <c r="AM515" s="14"/>
      <c r="AN515" s="14"/>
      <c r="AO515" s="14"/>
      <c r="AP515" s="14"/>
      <c r="AQ515" s="14"/>
      <c r="AR515" s="14"/>
      <c r="AS515" s="14"/>
      <c r="AT515" s="14"/>
      <c r="AU515" s="25"/>
      <c r="AV515" s="25">
        <v>1463000</v>
      </c>
      <c r="AW515" s="25"/>
      <c r="AX515" s="25">
        <v>1463000</v>
      </c>
      <c r="AY515" s="25"/>
      <c r="AZ515" s="25"/>
      <c r="BA515" s="17"/>
      <c r="BB515" s="17"/>
      <c r="BC515" s="18">
        <f t="shared" si="259"/>
        <v>0</v>
      </c>
      <c r="BD515" s="18">
        <f t="shared" si="260"/>
        <v>2926000</v>
      </c>
      <c r="BE515" s="19">
        <f t="shared" si="253"/>
        <v>-2926000</v>
      </c>
      <c r="BF515" s="20">
        <f t="shared" si="254"/>
        <v>4389000</v>
      </c>
      <c r="BG515" s="20">
        <f t="shared" si="255"/>
        <v>1463000</v>
      </c>
    </row>
    <row r="516" spans="1:59" ht="14.25" customHeight="1">
      <c r="A516" s="147" t="s">
        <v>1311</v>
      </c>
      <c r="B516" s="147" t="s">
        <v>60</v>
      </c>
      <c r="C516" s="151" t="s">
        <v>733</v>
      </c>
      <c r="D516" s="151" t="s">
        <v>62</v>
      </c>
      <c r="E516" s="151">
        <v>18</v>
      </c>
      <c r="F516" s="149" t="s">
        <v>1385</v>
      </c>
      <c r="G516" s="147" t="s">
        <v>733</v>
      </c>
      <c r="H516" s="147" t="s">
        <v>733</v>
      </c>
      <c r="I516" s="147" t="s">
        <v>733</v>
      </c>
      <c r="J516" s="164">
        <v>80111620</v>
      </c>
      <c r="K516" s="147" t="s">
        <v>1386</v>
      </c>
      <c r="L516" s="147" t="s">
        <v>83</v>
      </c>
      <c r="M516" s="147" t="s">
        <v>1387</v>
      </c>
      <c r="N516" s="147" t="s">
        <v>85</v>
      </c>
      <c r="O516" s="147" t="s">
        <v>86</v>
      </c>
      <c r="P516" s="147" t="s">
        <v>99</v>
      </c>
      <c r="Q516" s="147">
        <v>3</v>
      </c>
      <c r="R516" s="147" t="s">
        <v>72</v>
      </c>
      <c r="S516" s="147" t="s">
        <v>73</v>
      </c>
      <c r="T516" s="147" t="s">
        <v>74</v>
      </c>
      <c r="U516" s="148">
        <v>20180280</v>
      </c>
      <c r="V516" s="148">
        <v>20180280</v>
      </c>
      <c r="W516" s="147" t="s">
        <v>75</v>
      </c>
      <c r="X516" s="147" t="s">
        <v>67</v>
      </c>
      <c r="Y516" s="147" t="s">
        <v>1315</v>
      </c>
      <c r="Z516" s="147" t="s">
        <v>103</v>
      </c>
      <c r="AA516" s="147">
        <v>6012220601</v>
      </c>
      <c r="AB516" s="160" t="s">
        <v>104</v>
      </c>
      <c r="AC516" s="14"/>
      <c r="AD516" s="14"/>
      <c r="AE516" s="14"/>
      <c r="AF516" s="14"/>
      <c r="AG516" s="14"/>
      <c r="AH516" s="14"/>
      <c r="AI516" s="14"/>
      <c r="AJ516" s="14"/>
      <c r="AK516" s="14"/>
      <c r="AL516" s="14"/>
      <c r="AM516" s="14"/>
      <c r="AN516" s="14"/>
      <c r="AO516" s="14"/>
      <c r="AP516" s="14"/>
      <c r="AQ516" s="14"/>
      <c r="AR516" s="14"/>
      <c r="AS516" s="14"/>
      <c r="AT516" s="14"/>
      <c r="AU516" s="25"/>
      <c r="AV516" s="25"/>
      <c r="AW516" s="25"/>
      <c r="AX516" s="25"/>
      <c r="AY516" s="25"/>
      <c r="AZ516" s="25"/>
      <c r="BA516" s="17"/>
      <c r="BB516" s="17"/>
      <c r="BC516" s="18">
        <f t="shared" si="259"/>
        <v>0</v>
      </c>
      <c r="BD516" s="18">
        <f t="shared" si="260"/>
        <v>0</v>
      </c>
      <c r="BE516" s="19">
        <f t="shared" si="253"/>
        <v>0</v>
      </c>
      <c r="BF516" s="20">
        <f t="shared" si="254"/>
        <v>20180280</v>
      </c>
      <c r="BG516" s="20">
        <f t="shared" si="255"/>
        <v>20180280</v>
      </c>
    </row>
    <row r="517" spans="1:59" ht="14.25" customHeight="1">
      <c r="A517" s="147" t="s">
        <v>1311</v>
      </c>
      <c r="B517" s="147" t="s">
        <v>60</v>
      </c>
      <c r="C517" s="151" t="s">
        <v>733</v>
      </c>
      <c r="D517" s="151" t="s">
        <v>62</v>
      </c>
      <c r="E517" s="151" t="s">
        <v>114</v>
      </c>
      <c r="F517" s="149" t="s">
        <v>1388</v>
      </c>
      <c r="G517" s="147" t="s">
        <v>733</v>
      </c>
      <c r="H517" s="147" t="s">
        <v>733</v>
      </c>
      <c r="I517" s="147" t="s">
        <v>733</v>
      </c>
      <c r="J517" s="164">
        <v>80111620</v>
      </c>
      <c r="K517" s="147" t="s">
        <v>1386</v>
      </c>
      <c r="L517" s="147" t="s">
        <v>83</v>
      </c>
      <c r="M517" s="147" t="s">
        <v>1389</v>
      </c>
      <c r="N517" s="147" t="s">
        <v>91</v>
      </c>
      <c r="O517" s="147" t="s">
        <v>91</v>
      </c>
      <c r="P517" s="147" t="s">
        <v>91</v>
      </c>
      <c r="Q517" s="147">
        <v>11.5</v>
      </c>
      <c r="R517" s="147" t="s">
        <v>72</v>
      </c>
      <c r="S517" s="147" t="s">
        <v>73</v>
      </c>
      <c r="T517" s="147" t="s">
        <v>74</v>
      </c>
      <c r="U517" s="148">
        <v>85525040</v>
      </c>
      <c r="V517" s="148">
        <v>85525040</v>
      </c>
      <c r="W517" s="147" t="s">
        <v>75</v>
      </c>
      <c r="X517" s="147" t="s">
        <v>67</v>
      </c>
      <c r="Y517" s="147" t="s">
        <v>1390</v>
      </c>
      <c r="Z517" s="147" t="s">
        <v>1391</v>
      </c>
      <c r="AA517" s="147">
        <v>6012220601</v>
      </c>
      <c r="AB517" s="160" t="s">
        <v>1392</v>
      </c>
      <c r="AC517" s="14">
        <v>73668000</v>
      </c>
      <c r="AD517" s="14"/>
      <c r="AE517" s="14"/>
      <c r="AF517" s="14"/>
      <c r="AG517" s="14"/>
      <c r="AH517" s="14"/>
      <c r="AI517" s="14"/>
      <c r="AJ517" s="14"/>
      <c r="AK517" s="14"/>
      <c r="AL517" s="14"/>
      <c r="AM517" s="14"/>
      <c r="AN517" s="14"/>
      <c r="AO517" s="14"/>
      <c r="AP517" s="14"/>
      <c r="AQ517" s="14"/>
      <c r="AR517" s="14"/>
      <c r="AS517" s="14"/>
      <c r="AT517" s="14"/>
      <c r="AU517" s="25"/>
      <c r="AV517" s="25">
        <v>7436960</v>
      </c>
      <c r="AW517" s="25"/>
      <c r="AX517" s="25">
        <v>7436960</v>
      </c>
      <c r="AY517" s="25"/>
      <c r="AZ517" s="25">
        <v>14873860</v>
      </c>
      <c r="BA517" s="17"/>
      <c r="BB517" s="17"/>
      <c r="BC517" s="18">
        <f t="shared" si="259"/>
        <v>73668000</v>
      </c>
      <c r="BD517" s="18">
        <f t="shared" si="260"/>
        <v>29747780</v>
      </c>
      <c r="BE517" s="19">
        <f t="shared" si="253"/>
        <v>43920220</v>
      </c>
      <c r="BF517" s="20">
        <f t="shared" si="254"/>
        <v>11857040</v>
      </c>
      <c r="BG517" s="20">
        <f t="shared" si="255"/>
        <v>55777260</v>
      </c>
    </row>
    <row r="518" spans="1:59" ht="14.25" customHeight="1">
      <c r="A518" s="147" t="s">
        <v>1311</v>
      </c>
      <c r="B518" s="147" t="s">
        <v>60</v>
      </c>
      <c r="C518" s="151" t="s">
        <v>733</v>
      </c>
      <c r="D518" s="151" t="s">
        <v>62</v>
      </c>
      <c r="E518" s="151" t="s">
        <v>114</v>
      </c>
      <c r="F518" s="149" t="s">
        <v>1393</v>
      </c>
      <c r="G518" s="147" t="s">
        <v>733</v>
      </c>
      <c r="H518" s="147" t="s">
        <v>733</v>
      </c>
      <c r="I518" s="147" t="s">
        <v>733</v>
      </c>
      <c r="J518" s="164">
        <v>80111620</v>
      </c>
      <c r="K518" s="147" t="s">
        <v>1386</v>
      </c>
      <c r="L518" s="147" t="s">
        <v>83</v>
      </c>
      <c r="M518" s="147" t="s">
        <v>1394</v>
      </c>
      <c r="N518" s="147" t="s">
        <v>91</v>
      </c>
      <c r="O518" s="147" t="s">
        <v>91</v>
      </c>
      <c r="P518" s="147" t="s">
        <v>91</v>
      </c>
      <c r="Q518" s="147">
        <v>11.5</v>
      </c>
      <c r="R518" s="147" t="s">
        <v>72</v>
      </c>
      <c r="S518" s="147" t="s">
        <v>73</v>
      </c>
      <c r="T518" s="147" t="s">
        <v>74</v>
      </c>
      <c r="U518" s="148">
        <v>90933333</v>
      </c>
      <c r="V518" s="148">
        <v>90933333</v>
      </c>
      <c r="W518" s="147" t="s">
        <v>75</v>
      </c>
      <c r="X518" s="147" t="s">
        <v>67</v>
      </c>
      <c r="Y518" s="147" t="s">
        <v>76</v>
      </c>
      <c r="Z518" s="147" t="s">
        <v>77</v>
      </c>
      <c r="AA518" s="147">
        <v>6012220601</v>
      </c>
      <c r="AB518" s="160" t="s">
        <v>104</v>
      </c>
      <c r="AC518" s="14"/>
      <c r="AD518" s="14"/>
      <c r="AE518" s="14"/>
      <c r="AF518" s="14"/>
      <c r="AG518" s="14"/>
      <c r="AH518" s="14"/>
      <c r="AI518" s="14"/>
      <c r="AJ518" s="14"/>
      <c r="AK518" s="14"/>
      <c r="AL518" s="14"/>
      <c r="AM518" s="14"/>
      <c r="AN518" s="14"/>
      <c r="AO518" s="14"/>
      <c r="AP518" s="14"/>
      <c r="AQ518" s="14"/>
      <c r="AR518" s="14"/>
      <c r="AS518" s="14"/>
      <c r="AT518" s="14"/>
      <c r="AU518" s="25"/>
      <c r="AV518" s="25">
        <v>8000000</v>
      </c>
      <c r="AW518" s="25"/>
      <c r="AX518" s="25">
        <v>8000000</v>
      </c>
      <c r="AY518" s="25"/>
      <c r="AZ518" s="25">
        <v>16000000</v>
      </c>
      <c r="BA518" s="17"/>
      <c r="BB518" s="17"/>
      <c r="BC518" s="18">
        <f t="shared" si="259"/>
        <v>0</v>
      </c>
      <c r="BD518" s="18">
        <f t="shared" si="260"/>
        <v>32000000</v>
      </c>
      <c r="BE518" s="19">
        <f t="shared" si="253"/>
        <v>-32000000</v>
      </c>
      <c r="BF518" s="20">
        <f t="shared" si="254"/>
        <v>90933333</v>
      </c>
      <c r="BG518" s="20">
        <f t="shared" si="255"/>
        <v>58933333</v>
      </c>
    </row>
    <row r="519" spans="1:59" ht="14.25" customHeight="1">
      <c r="A519" s="147" t="s">
        <v>1311</v>
      </c>
      <c r="B519" s="147" t="s">
        <v>60</v>
      </c>
      <c r="C519" s="151" t="s">
        <v>733</v>
      </c>
      <c r="D519" s="151" t="s">
        <v>62</v>
      </c>
      <c r="E519" s="151" t="s">
        <v>114</v>
      </c>
      <c r="F519" s="149" t="s">
        <v>1395</v>
      </c>
      <c r="G519" s="147" t="s">
        <v>733</v>
      </c>
      <c r="H519" s="147" t="s">
        <v>733</v>
      </c>
      <c r="I519" s="147" t="s">
        <v>733</v>
      </c>
      <c r="J519" s="164">
        <v>85101508</v>
      </c>
      <c r="K519" s="147" t="s">
        <v>1375</v>
      </c>
      <c r="L519" s="147" t="s">
        <v>131</v>
      </c>
      <c r="M519" s="147" t="s">
        <v>1396</v>
      </c>
      <c r="N519" s="147" t="s">
        <v>100</v>
      </c>
      <c r="O519" s="147" t="s">
        <v>100</v>
      </c>
      <c r="P519" s="147" t="s">
        <v>142</v>
      </c>
      <c r="Q519" s="147">
        <v>4</v>
      </c>
      <c r="R519" s="147" t="s">
        <v>72</v>
      </c>
      <c r="S519" s="147" t="s">
        <v>222</v>
      </c>
      <c r="T519" s="147" t="s">
        <v>74</v>
      </c>
      <c r="U519" s="148">
        <v>6210000</v>
      </c>
      <c r="V519" s="148">
        <v>6210000</v>
      </c>
      <c r="W519" s="147" t="s">
        <v>75</v>
      </c>
      <c r="X519" s="147" t="s">
        <v>67</v>
      </c>
      <c r="Y519" s="147" t="s">
        <v>76</v>
      </c>
      <c r="Z519" s="147" t="s">
        <v>77</v>
      </c>
      <c r="AA519" s="147">
        <v>6012220601</v>
      </c>
      <c r="AB519" s="160" t="s">
        <v>78</v>
      </c>
      <c r="AC519" s="14"/>
      <c r="AD519" s="14"/>
      <c r="AE519" s="14"/>
      <c r="AF519" s="14"/>
      <c r="AG519" s="14"/>
      <c r="AH519" s="14"/>
      <c r="AI519" s="14"/>
      <c r="AJ519" s="14"/>
      <c r="AK519" s="14"/>
      <c r="AL519" s="14"/>
      <c r="AM519" s="14"/>
      <c r="AN519" s="14"/>
      <c r="AO519" s="14"/>
      <c r="AP519" s="14"/>
      <c r="AQ519" s="14"/>
      <c r="AR519" s="14"/>
      <c r="AS519" s="14"/>
      <c r="AT519" s="14"/>
      <c r="AU519" s="25"/>
      <c r="AV519" s="25">
        <v>1552500</v>
      </c>
      <c r="AW519" s="25"/>
      <c r="AX519" s="25">
        <v>1552500</v>
      </c>
      <c r="AY519" s="25"/>
      <c r="AZ519" s="25">
        <v>1552500</v>
      </c>
      <c r="BA519" s="17"/>
      <c r="BB519" s="17"/>
      <c r="BC519" s="18">
        <f t="shared" si="259"/>
        <v>0</v>
      </c>
      <c r="BD519" s="18">
        <f t="shared" si="260"/>
        <v>4657500</v>
      </c>
      <c r="BE519" s="19">
        <f t="shared" ref="BE519:BE626" si="261">BC519-BD519</f>
        <v>-4657500</v>
      </c>
      <c r="BF519" s="20">
        <f t="shared" ref="BF519:BF626" si="262">V519-BC519</f>
        <v>6210000</v>
      </c>
      <c r="BG519" s="20">
        <f t="shared" ref="BG519:BG626" si="263">V519-BD519</f>
        <v>1552500</v>
      </c>
    </row>
    <row r="520" spans="1:59" ht="14.25" customHeight="1">
      <c r="A520" s="147" t="s">
        <v>1311</v>
      </c>
      <c r="B520" s="147" t="s">
        <v>60</v>
      </c>
      <c r="C520" s="151" t="s">
        <v>733</v>
      </c>
      <c r="D520" s="151" t="s">
        <v>62</v>
      </c>
      <c r="E520" s="151" t="s">
        <v>114</v>
      </c>
      <c r="F520" s="149" t="s">
        <v>1397</v>
      </c>
      <c r="G520" s="147" t="s">
        <v>733</v>
      </c>
      <c r="H520" s="147" t="s">
        <v>733</v>
      </c>
      <c r="I520" s="147" t="s">
        <v>733</v>
      </c>
      <c r="J520" s="164">
        <v>80111620</v>
      </c>
      <c r="K520" s="147" t="s">
        <v>1386</v>
      </c>
      <c r="L520" s="147" t="s">
        <v>83</v>
      </c>
      <c r="M520" s="147" t="s">
        <v>1398</v>
      </c>
      <c r="N520" s="147" t="s">
        <v>91</v>
      </c>
      <c r="O520" s="147" t="s">
        <v>91</v>
      </c>
      <c r="P520" s="147" t="s">
        <v>91</v>
      </c>
      <c r="Q520" s="147">
        <v>4</v>
      </c>
      <c r="R520" s="147" t="s">
        <v>72</v>
      </c>
      <c r="S520" s="147" t="s">
        <v>73</v>
      </c>
      <c r="T520" s="147" t="s">
        <v>74</v>
      </c>
      <c r="U520" s="148">
        <v>29921047</v>
      </c>
      <c r="V520" s="148">
        <v>29921047</v>
      </c>
      <c r="W520" s="147" t="s">
        <v>75</v>
      </c>
      <c r="X520" s="147" t="s">
        <v>67</v>
      </c>
      <c r="Y520" s="147" t="s">
        <v>1315</v>
      </c>
      <c r="Z520" s="147" t="s">
        <v>103</v>
      </c>
      <c r="AA520" s="147">
        <v>6012220601</v>
      </c>
      <c r="AB520" s="160" t="s">
        <v>104</v>
      </c>
      <c r="AC520" s="14"/>
      <c r="AD520" s="14"/>
      <c r="AE520" s="14"/>
      <c r="AF520" s="14"/>
      <c r="AG520" s="14"/>
      <c r="AH520" s="14"/>
      <c r="AI520" s="14"/>
      <c r="AJ520" s="14"/>
      <c r="AK520" s="14"/>
      <c r="AL520" s="14"/>
      <c r="AM520" s="14"/>
      <c r="AN520" s="14"/>
      <c r="AO520" s="14"/>
      <c r="AP520" s="14"/>
      <c r="AQ520" s="14"/>
      <c r="AR520" s="14"/>
      <c r="AS520" s="14"/>
      <c r="AT520" s="14"/>
      <c r="AU520" s="25"/>
      <c r="AV520" s="25"/>
      <c r="AW520" s="25"/>
      <c r="AX520" s="25"/>
      <c r="AY520" s="25"/>
      <c r="AZ520" s="25"/>
      <c r="BA520" s="17"/>
      <c r="BB520" s="17"/>
      <c r="BC520" s="18">
        <f t="shared" si="259"/>
        <v>0</v>
      </c>
      <c r="BD520" s="18">
        <f t="shared" si="260"/>
        <v>0</v>
      </c>
      <c r="BE520" s="19">
        <f t="shared" si="261"/>
        <v>0</v>
      </c>
      <c r="BF520" s="20">
        <f t="shared" si="262"/>
        <v>29921047</v>
      </c>
      <c r="BG520" s="20">
        <f t="shared" si="263"/>
        <v>29921047</v>
      </c>
    </row>
    <row r="521" spans="1:59" ht="14.25" customHeight="1">
      <c r="A521" s="147" t="s">
        <v>1311</v>
      </c>
      <c r="B521" s="147" t="s">
        <v>60</v>
      </c>
      <c r="C521" s="151" t="s">
        <v>733</v>
      </c>
      <c r="D521" s="151" t="s">
        <v>62</v>
      </c>
      <c r="E521" s="151">
        <v>18</v>
      </c>
      <c r="F521" s="149" t="s">
        <v>1399</v>
      </c>
      <c r="G521" s="147" t="s">
        <v>733</v>
      </c>
      <c r="H521" s="147" t="s">
        <v>733</v>
      </c>
      <c r="I521" s="147" t="s">
        <v>733</v>
      </c>
      <c r="J521" s="164">
        <v>80111620</v>
      </c>
      <c r="K521" s="147" t="s">
        <v>1386</v>
      </c>
      <c r="L521" s="147" t="s">
        <v>83</v>
      </c>
      <c r="M521" s="147" t="s">
        <v>1400</v>
      </c>
      <c r="N521" s="147" t="s">
        <v>91</v>
      </c>
      <c r="O521" s="147" t="s">
        <v>91</v>
      </c>
      <c r="P521" s="147" t="s">
        <v>91</v>
      </c>
      <c r="Q521" s="147">
        <v>8</v>
      </c>
      <c r="R521" s="147" t="s">
        <v>72</v>
      </c>
      <c r="S521" s="147" t="s">
        <v>73</v>
      </c>
      <c r="T521" s="147" t="s">
        <v>74</v>
      </c>
      <c r="U521" s="148">
        <v>90334331</v>
      </c>
      <c r="V521" s="148">
        <v>90334331</v>
      </c>
      <c r="W521" s="147" t="s">
        <v>75</v>
      </c>
      <c r="X521" s="147" t="s">
        <v>67</v>
      </c>
      <c r="Y521" s="147" t="s">
        <v>1315</v>
      </c>
      <c r="Z521" s="147" t="s">
        <v>103</v>
      </c>
      <c r="AA521" s="147">
        <v>6012220601</v>
      </c>
      <c r="AB521" s="160" t="s">
        <v>104</v>
      </c>
      <c r="AC521" s="14"/>
      <c r="AD521" s="14"/>
      <c r="AE521" s="14"/>
      <c r="AF521" s="14"/>
      <c r="AG521" s="14"/>
      <c r="AH521" s="14"/>
      <c r="AI521" s="14"/>
      <c r="AJ521" s="14"/>
      <c r="AK521" s="14"/>
      <c r="AL521" s="14"/>
      <c r="AM521" s="14"/>
      <c r="AN521" s="14"/>
      <c r="AO521" s="14"/>
      <c r="AP521" s="14"/>
      <c r="AQ521" s="14"/>
      <c r="AR521" s="14"/>
      <c r="AS521" s="14"/>
      <c r="AT521" s="14"/>
      <c r="AU521" s="25"/>
      <c r="AV521" s="25">
        <v>8017840</v>
      </c>
      <c r="AW521" s="25"/>
      <c r="AX521" s="25">
        <v>8017840</v>
      </c>
      <c r="AY521" s="25"/>
      <c r="AZ521" s="25">
        <v>16035680</v>
      </c>
      <c r="BA521" s="17"/>
      <c r="BB521" s="17"/>
      <c r="BC521" s="18">
        <f t="shared" si="259"/>
        <v>0</v>
      </c>
      <c r="BD521" s="18">
        <f t="shared" si="260"/>
        <v>32071360</v>
      </c>
      <c r="BE521" s="19">
        <f t="shared" si="261"/>
        <v>-32071360</v>
      </c>
      <c r="BF521" s="20">
        <f t="shared" si="262"/>
        <v>90334331</v>
      </c>
      <c r="BG521" s="20">
        <f t="shared" si="263"/>
        <v>58262971</v>
      </c>
    </row>
    <row r="522" spans="1:59" ht="14.25" customHeight="1">
      <c r="A522" s="147" t="s">
        <v>1311</v>
      </c>
      <c r="B522" s="147" t="s">
        <v>60</v>
      </c>
      <c r="C522" s="151" t="s">
        <v>733</v>
      </c>
      <c r="D522" s="151" t="s">
        <v>62</v>
      </c>
      <c r="E522" s="151">
        <v>18</v>
      </c>
      <c r="F522" s="149" t="s">
        <v>1401</v>
      </c>
      <c r="G522" s="147" t="s">
        <v>733</v>
      </c>
      <c r="H522" s="147" t="s">
        <v>733</v>
      </c>
      <c r="I522" s="147" t="s">
        <v>733</v>
      </c>
      <c r="J522" s="164">
        <v>72121103</v>
      </c>
      <c r="K522" s="147" t="s">
        <v>1402</v>
      </c>
      <c r="L522" s="147" t="s">
        <v>131</v>
      </c>
      <c r="M522" s="147" t="s">
        <v>1403</v>
      </c>
      <c r="N522" s="147" t="s">
        <v>85</v>
      </c>
      <c r="O522" s="147" t="s">
        <v>86</v>
      </c>
      <c r="P522" s="147" t="s">
        <v>99</v>
      </c>
      <c r="Q522" s="147">
        <v>3</v>
      </c>
      <c r="R522" s="147" t="s">
        <v>72</v>
      </c>
      <c r="S522" s="147" t="s">
        <v>129</v>
      </c>
      <c r="T522" s="147" t="s">
        <v>74</v>
      </c>
      <c r="U522" s="148">
        <v>212000000</v>
      </c>
      <c r="V522" s="148">
        <v>212000000</v>
      </c>
      <c r="W522" s="147" t="s">
        <v>75</v>
      </c>
      <c r="X522" s="147" t="s">
        <v>67</v>
      </c>
      <c r="Y522" s="147" t="s">
        <v>1315</v>
      </c>
      <c r="Z522" s="147" t="s">
        <v>103</v>
      </c>
      <c r="AA522" s="147">
        <v>6012220601</v>
      </c>
      <c r="AB522" s="160" t="s">
        <v>104</v>
      </c>
      <c r="AC522" s="14"/>
      <c r="AD522" s="14"/>
      <c r="AE522" s="14"/>
      <c r="AF522" s="14"/>
      <c r="AG522" s="14"/>
      <c r="AH522" s="14"/>
      <c r="AI522" s="14"/>
      <c r="AJ522" s="14"/>
      <c r="AK522" s="14"/>
      <c r="AL522" s="14"/>
      <c r="AM522" s="14"/>
      <c r="AN522" s="14"/>
      <c r="AO522" s="14"/>
      <c r="AP522" s="14"/>
      <c r="AQ522" s="14"/>
      <c r="AR522" s="14"/>
      <c r="AS522" s="14"/>
      <c r="AT522" s="14"/>
      <c r="AU522" s="25"/>
      <c r="AV522" s="25"/>
      <c r="AW522" s="25"/>
      <c r="AX522" s="25"/>
      <c r="AY522" s="25"/>
      <c r="AZ522" s="25"/>
      <c r="BA522" s="17"/>
      <c r="BB522" s="17"/>
      <c r="BC522" s="18">
        <f t="shared" si="259"/>
        <v>0</v>
      </c>
      <c r="BD522" s="18">
        <f t="shared" si="260"/>
        <v>0</v>
      </c>
      <c r="BE522" s="19">
        <f t="shared" si="261"/>
        <v>0</v>
      </c>
      <c r="BF522" s="20">
        <f t="shared" si="262"/>
        <v>212000000</v>
      </c>
      <c r="BG522" s="20">
        <f t="shared" si="263"/>
        <v>212000000</v>
      </c>
    </row>
    <row r="523" spans="1:59" ht="14.25" customHeight="1">
      <c r="A523" s="147" t="s">
        <v>1311</v>
      </c>
      <c r="B523" s="147" t="s">
        <v>60</v>
      </c>
      <c r="C523" s="151" t="s">
        <v>733</v>
      </c>
      <c r="D523" s="151" t="s">
        <v>62</v>
      </c>
      <c r="E523" s="151" t="s">
        <v>114</v>
      </c>
      <c r="F523" s="149" t="s">
        <v>1404</v>
      </c>
      <c r="G523" s="147" t="s">
        <v>733</v>
      </c>
      <c r="H523" s="147" t="s">
        <v>733</v>
      </c>
      <c r="I523" s="147" t="s">
        <v>733</v>
      </c>
      <c r="J523" s="164">
        <v>80131500</v>
      </c>
      <c r="K523" s="147" t="s">
        <v>1339</v>
      </c>
      <c r="L523" s="147" t="s">
        <v>97</v>
      </c>
      <c r="M523" s="147" t="s">
        <v>1405</v>
      </c>
      <c r="N523" s="147" t="s">
        <v>86</v>
      </c>
      <c r="O523" s="147" t="s">
        <v>86</v>
      </c>
      <c r="P523" s="147" t="s">
        <v>99</v>
      </c>
      <c r="Q523" s="147">
        <v>4</v>
      </c>
      <c r="R523" s="147" t="s">
        <v>72</v>
      </c>
      <c r="S523" s="168" t="s">
        <v>101</v>
      </c>
      <c r="T523" s="147" t="s">
        <v>74</v>
      </c>
      <c r="U523" s="148">
        <v>70000000</v>
      </c>
      <c r="V523" s="148">
        <v>70000000</v>
      </c>
      <c r="W523" s="147" t="s">
        <v>75</v>
      </c>
      <c r="X523" s="147" t="s">
        <v>67</v>
      </c>
      <c r="Y523" s="147" t="s">
        <v>1315</v>
      </c>
      <c r="Z523" s="147" t="s">
        <v>103</v>
      </c>
      <c r="AA523" s="147">
        <v>6012220601</v>
      </c>
      <c r="AB523" s="160" t="s">
        <v>104</v>
      </c>
      <c r="AC523" s="14"/>
      <c r="AD523" s="14"/>
      <c r="AE523" s="14"/>
      <c r="AF523" s="14"/>
      <c r="AG523" s="14"/>
      <c r="AH523" s="14"/>
      <c r="AI523" s="14"/>
      <c r="AJ523" s="14"/>
      <c r="AK523" s="14"/>
      <c r="AL523" s="14"/>
      <c r="AM523" s="14"/>
      <c r="AN523" s="14"/>
      <c r="AO523" s="14"/>
      <c r="AP523" s="14"/>
      <c r="AQ523" s="14"/>
      <c r="AR523" s="14"/>
      <c r="AS523" s="14"/>
      <c r="AT523" s="14"/>
      <c r="AU523" s="25"/>
      <c r="AV523" s="25">
        <v>7000000</v>
      </c>
      <c r="AW523" s="25"/>
      <c r="AX523" s="25">
        <v>7000000</v>
      </c>
      <c r="AY523" s="25"/>
      <c r="AZ523" s="25">
        <v>7000000</v>
      </c>
      <c r="BA523" s="17"/>
      <c r="BB523" s="17"/>
      <c r="BC523" s="18">
        <f t="shared" si="259"/>
        <v>0</v>
      </c>
      <c r="BD523" s="18">
        <f t="shared" si="260"/>
        <v>21000000</v>
      </c>
      <c r="BE523" s="19">
        <f t="shared" si="261"/>
        <v>-21000000</v>
      </c>
      <c r="BF523" s="20">
        <f t="shared" si="262"/>
        <v>70000000</v>
      </c>
      <c r="BG523" s="20">
        <f t="shared" si="263"/>
        <v>49000000</v>
      </c>
    </row>
    <row r="524" spans="1:59" ht="14.25" customHeight="1">
      <c r="A524" s="147" t="s">
        <v>1311</v>
      </c>
      <c r="B524" s="147" t="s">
        <v>60</v>
      </c>
      <c r="C524" s="151" t="s">
        <v>733</v>
      </c>
      <c r="D524" s="151" t="s">
        <v>62</v>
      </c>
      <c r="E524" s="151">
        <v>18</v>
      </c>
      <c r="F524" s="149" t="s">
        <v>1406</v>
      </c>
      <c r="G524" s="147" t="s">
        <v>733</v>
      </c>
      <c r="H524" s="147" t="s">
        <v>733</v>
      </c>
      <c r="I524" s="147" t="s">
        <v>733</v>
      </c>
      <c r="J524" s="164">
        <v>80111620</v>
      </c>
      <c r="K524" s="147" t="s">
        <v>1386</v>
      </c>
      <c r="L524" s="147" t="s">
        <v>83</v>
      </c>
      <c r="M524" s="147" t="s">
        <v>1407</v>
      </c>
      <c r="N524" s="147" t="s">
        <v>91</v>
      </c>
      <c r="O524" s="147" t="s">
        <v>91</v>
      </c>
      <c r="P524" s="147" t="s">
        <v>91</v>
      </c>
      <c r="Q524" s="147">
        <v>8</v>
      </c>
      <c r="R524" s="147" t="s">
        <v>72</v>
      </c>
      <c r="S524" s="147" t="s">
        <v>73</v>
      </c>
      <c r="T524" s="147" t="s">
        <v>74</v>
      </c>
      <c r="U524" s="148">
        <v>100200000</v>
      </c>
      <c r="V524" s="148">
        <v>100200000</v>
      </c>
      <c r="W524" s="147" t="s">
        <v>75</v>
      </c>
      <c r="X524" s="147" t="s">
        <v>67</v>
      </c>
      <c r="Y524" s="147" t="s">
        <v>1315</v>
      </c>
      <c r="Z524" s="147" t="s">
        <v>103</v>
      </c>
      <c r="AA524" s="147">
        <v>6012220601</v>
      </c>
      <c r="AB524" s="160" t="s">
        <v>104</v>
      </c>
      <c r="AC524" s="14"/>
      <c r="AD524" s="14"/>
      <c r="AE524" s="14"/>
      <c r="AF524" s="14"/>
      <c r="AG524" s="14"/>
      <c r="AH524" s="14"/>
      <c r="AI524" s="14"/>
      <c r="AJ524" s="14"/>
      <c r="AK524" s="14"/>
      <c r="AL524" s="14"/>
      <c r="AM524" s="14"/>
      <c r="AN524" s="14"/>
      <c r="AO524" s="14"/>
      <c r="AP524" s="14"/>
      <c r="AQ524" s="14"/>
      <c r="AR524" s="14"/>
      <c r="AS524" s="14"/>
      <c r="AT524" s="14"/>
      <c r="AU524" s="25"/>
      <c r="AV524" s="25">
        <v>9000000</v>
      </c>
      <c r="AW524" s="25"/>
      <c r="AX524" s="25">
        <v>9000000</v>
      </c>
      <c r="AY524" s="25"/>
      <c r="AZ524" s="25">
        <v>18000000</v>
      </c>
      <c r="BA524" s="17"/>
      <c r="BB524" s="17"/>
      <c r="BC524" s="18">
        <f t="shared" si="259"/>
        <v>0</v>
      </c>
      <c r="BD524" s="18">
        <f t="shared" si="260"/>
        <v>36000000</v>
      </c>
      <c r="BE524" s="19">
        <f t="shared" si="261"/>
        <v>-36000000</v>
      </c>
      <c r="BF524" s="20">
        <f t="shared" si="262"/>
        <v>100200000</v>
      </c>
      <c r="BG524" s="20">
        <f t="shared" si="263"/>
        <v>64200000</v>
      </c>
    </row>
    <row r="525" spans="1:59" ht="14.25" customHeight="1">
      <c r="A525" s="147" t="s">
        <v>1311</v>
      </c>
      <c r="B525" s="147" t="s">
        <v>60</v>
      </c>
      <c r="C525" s="151" t="s">
        <v>733</v>
      </c>
      <c r="D525" s="151" t="s">
        <v>62</v>
      </c>
      <c r="E525" s="151">
        <v>6</v>
      </c>
      <c r="F525" s="149" t="s">
        <v>1408</v>
      </c>
      <c r="G525" s="147" t="s">
        <v>733</v>
      </c>
      <c r="H525" s="147" t="s">
        <v>733</v>
      </c>
      <c r="I525" s="147" t="s">
        <v>733</v>
      </c>
      <c r="J525" s="164">
        <v>80111620</v>
      </c>
      <c r="K525" s="147" t="s">
        <v>1409</v>
      </c>
      <c r="L525" s="147" t="s">
        <v>131</v>
      </c>
      <c r="M525" s="147" t="s">
        <v>1410</v>
      </c>
      <c r="N525" s="147" t="s">
        <v>99</v>
      </c>
      <c r="O525" s="147" t="s">
        <v>99</v>
      </c>
      <c r="P525" s="147" t="s">
        <v>99</v>
      </c>
      <c r="Q525" s="147">
        <v>9</v>
      </c>
      <c r="R525" s="147" t="s">
        <v>72</v>
      </c>
      <c r="S525" s="147" t="s">
        <v>73</v>
      </c>
      <c r="T525" s="147" t="s">
        <v>74</v>
      </c>
      <c r="U525" s="148">
        <v>82743939</v>
      </c>
      <c r="V525" s="148">
        <v>82743939</v>
      </c>
      <c r="W525" s="147" t="s">
        <v>75</v>
      </c>
      <c r="X525" s="147" t="s">
        <v>67</v>
      </c>
      <c r="Y525" s="147" t="s">
        <v>76</v>
      </c>
      <c r="Z525" s="147" t="s">
        <v>77</v>
      </c>
      <c r="AA525" s="147">
        <v>6012220601</v>
      </c>
      <c r="AB525" s="160" t="s">
        <v>78</v>
      </c>
      <c r="AC525" s="14"/>
      <c r="AD525" s="14"/>
      <c r="AE525" s="14"/>
      <c r="AF525" s="14"/>
      <c r="AG525" s="14"/>
      <c r="AH525" s="14"/>
      <c r="AI525" s="14"/>
      <c r="AJ525" s="14"/>
      <c r="AK525" s="14"/>
      <c r="AL525" s="14"/>
      <c r="AM525" s="14"/>
      <c r="AN525" s="14"/>
      <c r="AO525" s="14"/>
      <c r="AP525" s="14"/>
      <c r="AQ525" s="14"/>
      <c r="AR525" s="14"/>
      <c r="AS525" s="14"/>
      <c r="AT525" s="14"/>
      <c r="AU525" s="25"/>
      <c r="AV525" s="25"/>
      <c r="AW525" s="25"/>
      <c r="AX525" s="25"/>
      <c r="AY525" s="25"/>
      <c r="AZ525" s="25">
        <v>24823939</v>
      </c>
      <c r="BA525" s="17"/>
      <c r="BB525" s="17"/>
      <c r="BC525" s="18">
        <f t="shared" si="259"/>
        <v>0</v>
      </c>
      <c r="BD525" s="18">
        <f t="shared" si="260"/>
        <v>24823939</v>
      </c>
      <c r="BE525" s="19">
        <f t="shared" si="261"/>
        <v>-24823939</v>
      </c>
      <c r="BF525" s="20">
        <f t="shared" si="262"/>
        <v>82743939</v>
      </c>
      <c r="BG525" s="20">
        <f t="shared" si="263"/>
        <v>57920000</v>
      </c>
    </row>
    <row r="526" spans="1:59" ht="14.25" customHeight="1">
      <c r="A526" s="147" t="s">
        <v>1311</v>
      </c>
      <c r="B526" s="147" t="s">
        <v>60</v>
      </c>
      <c r="C526" s="151" t="s">
        <v>733</v>
      </c>
      <c r="D526" s="151" t="s">
        <v>62</v>
      </c>
      <c r="E526" s="151">
        <v>35</v>
      </c>
      <c r="F526" s="149" t="s">
        <v>1411</v>
      </c>
      <c r="G526" s="147" t="s">
        <v>733</v>
      </c>
      <c r="H526" s="147" t="s">
        <v>733</v>
      </c>
      <c r="I526" s="147" t="s">
        <v>733</v>
      </c>
      <c r="J526" s="164">
        <v>80111620</v>
      </c>
      <c r="K526" s="147" t="s">
        <v>1409</v>
      </c>
      <c r="L526" s="147" t="s">
        <v>131</v>
      </c>
      <c r="M526" s="147" t="s">
        <v>1412</v>
      </c>
      <c r="N526" s="147" t="s">
        <v>100</v>
      </c>
      <c r="O526" s="147" t="s">
        <v>100</v>
      </c>
      <c r="P526" s="147" t="s">
        <v>142</v>
      </c>
      <c r="Q526" s="147">
        <v>5</v>
      </c>
      <c r="R526" s="147" t="s">
        <v>72</v>
      </c>
      <c r="S526" s="147" t="s">
        <v>73</v>
      </c>
      <c r="T526" s="147" t="s">
        <v>74</v>
      </c>
      <c r="U526" s="148">
        <v>14170000</v>
      </c>
      <c r="V526" s="148">
        <v>14170000</v>
      </c>
      <c r="W526" s="147" t="s">
        <v>75</v>
      </c>
      <c r="X526" s="147" t="s">
        <v>67</v>
      </c>
      <c r="Y526" s="147" t="s">
        <v>76</v>
      </c>
      <c r="Z526" s="147" t="s">
        <v>77</v>
      </c>
      <c r="AA526" s="147">
        <v>6012220601</v>
      </c>
      <c r="AB526" s="160" t="s">
        <v>78</v>
      </c>
      <c r="AC526" s="14"/>
      <c r="AD526" s="14"/>
      <c r="AE526" s="14"/>
      <c r="AF526" s="14"/>
      <c r="AG526" s="14"/>
      <c r="AH526" s="14"/>
      <c r="AI526" s="14"/>
      <c r="AJ526" s="14"/>
      <c r="AK526" s="14"/>
      <c r="AL526" s="14"/>
      <c r="AM526" s="14"/>
      <c r="AN526" s="14"/>
      <c r="AO526" s="14"/>
      <c r="AP526" s="14"/>
      <c r="AQ526" s="14"/>
      <c r="AR526" s="14"/>
      <c r="AS526" s="14"/>
      <c r="AT526" s="14"/>
      <c r="AU526" s="25"/>
      <c r="AV526" s="25"/>
      <c r="AW526" s="25"/>
      <c r="AX526" s="25"/>
      <c r="AY526" s="25"/>
      <c r="AZ526" s="25">
        <v>14170000</v>
      </c>
      <c r="BA526" s="17"/>
      <c r="BB526" s="17"/>
      <c r="BC526" s="18">
        <f t="shared" si="259"/>
        <v>0</v>
      </c>
      <c r="BD526" s="18">
        <f t="shared" si="260"/>
        <v>14170000</v>
      </c>
      <c r="BE526" s="19">
        <f t="shared" si="261"/>
        <v>-14170000</v>
      </c>
      <c r="BF526" s="20">
        <f t="shared" si="262"/>
        <v>14170000</v>
      </c>
      <c r="BG526" s="20">
        <f t="shared" si="263"/>
        <v>0</v>
      </c>
    </row>
    <row r="527" spans="1:59" ht="14.25" customHeight="1">
      <c r="A527" s="147" t="s">
        <v>1311</v>
      </c>
      <c r="B527" s="147" t="s">
        <v>60</v>
      </c>
      <c r="C527" s="151" t="s">
        <v>733</v>
      </c>
      <c r="D527" s="151" t="s">
        <v>62</v>
      </c>
      <c r="E527" s="151">
        <v>6</v>
      </c>
      <c r="F527" s="149" t="s">
        <v>1413</v>
      </c>
      <c r="G527" s="147" t="s">
        <v>733</v>
      </c>
      <c r="H527" s="147" t="s">
        <v>733</v>
      </c>
      <c r="I527" s="147" t="s">
        <v>733</v>
      </c>
      <c r="J527" s="164">
        <v>80111620</v>
      </c>
      <c r="K527" s="147" t="s">
        <v>1409</v>
      </c>
      <c r="L527" s="147" t="s">
        <v>131</v>
      </c>
      <c r="M527" s="147" t="s">
        <v>1414</v>
      </c>
      <c r="N527" s="147" t="s">
        <v>99</v>
      </c>
      <c r="O527" s="147" t="s">
        <v>99</v>
      </c>
      <c r="P527" s="147" t="s">
        <v>99</v>
      </c>
      <c r="Q527" s="147">
        <v>9</v>
      </c>
      <c r="R527" s="147" t="s">
        <v>72</v>
      </c>
      <c r="S527" s="147" t="s">
        <v>73</v>
      </c>
      <c r="T527" s="147" t="s">
        <v>74</v>
      </c>
      <c r="U527" s="148">
        <v>113784561</v>
      </c>
      <c r="V527" s="148">
        <v>113784561</v>
      </c>
      <c r="W527" s="147" t="s">
        <v>75</v>
      </c>
      <c r="X527" s="147" t="s">
        <v>67</v>
      </c>
      <c r="Y527" s="147" t="s">
        <v>76</v>
      </c>
      <c r="Z527" s="147" t="s">
        <v>77</v>
      </c>
      <c r="AA527" s="147">
        <v>6012220601</v>
      </c>
      <c r="AB527" s="160" t="s">
        <v>78</v>
      </c>
      <c r="AC527" s="14"/>
      <c r="AD527" s="14"/>
      <c r="AE527" s="14"/>
      <c r="AF527" s="14"/>
      <c r="AG527" s="14"/>
      <c r="AH527" s="14"/>
      <c r="AI527" s="14"/>
      <c r="AJ527" s="14"/>
      <c r="AK527" s="14"/>
      <c r="AL527" s="14"/>
      <c r="AM527" s="14"/>
      <c r="AN527" s="14"/>
      <c r="AO527" s="14"/>
      <c r="AP527" s="14"/>
      <c r="AQ527" s="14"/>
      <c r="AR527" s="14"/>
      <c r="AS527" s="14"/>
      <c r="AT527" s="14"/>
      <c r="AU527" s="25"/>
      <c r="AV527" s="25"/>
      <c r="AW527" s="25"/>
      <c r="AX527" s="25">
        <v>22756913</v>
      </c>
      <c r="AY527" s="25"/>
      <c r="AZ527" s="28"/>
      <c r="BA527" s="17"/>
      <c r="BB527" s="17"/>
      <c r="BC527" s="18">
        <f t="shared" si="259"/>
        <v>0</v>
      </c>
      <c r="BD527" s="18">
        <f t="shared" si="260"/>
        <v>22756913</v>
      </c>
      <c r="BE527" s="19">
        <f t="shared" si="261"/>
        <v>-22756913</v>
      </c>
      <c r="BF527" s="20">
        <f t="shared" si="262"/>
        <v>113784561</v>
      </c>
      <c r="BG527" s="20">
        <f t="shared" si="263"/>
        <v>91027648</v>
      </c>
    </row>
    <row r="528" spans="1:59" ht="14.25" customHeight="1">
      <c r="A528" s="147" t="s">
        <v>1311</v>
      </c>
      <c r="B528" s="147" t="s">
        <v>60</v>
      </c>
      <c r="C528" s="151" t="s">
        <v>733</v>
      </c>
      <c r="D528" s="151" t="s">
        <v>62</v>
      </c>
      <c r="E528" s="151">
        <v>32</v>
      </c>
      <c r="F528" s="149" t="s">
        <v>1415</v>
      </c>
      <c r="G528" s="147" t="s">
        <v>733</v>
      </c>
      <c r="H528" s="147" t="s">
        <v>733</v>
      </c>
      <c r="I528" s="147" t="s">
        <v>733</v>
      </c>
      <c r="J528" s="164">
        <v>80111620</v>
      </c>
      <c r="K528" s="168" t="s">
        <v>1416</v>
      </c>
      <c r="L528" s="168" t="s">
        <v>83</v>
      </c>
      <c r="M528" s="147" t="s">
        <v>1417</v>
      </c>
      <c r="N528" s="147" t="s">
        <v>127</v>
      </c>
      <c r="O528" s="147" t="s">
        <v>127</v>
      </c>
      <c r="P528" s="147" t="s">
        <v>127</v>
      </c>
      <c r="Q528" s="147">
        <v>7.5</v>
      </c>
      <c r="R528" s="147" t="s">
        <v>72</v>
      </c>
      <c r="S528" s="147" t="s">
        <v>73</v>
      </c>
      <c r="T528" s="147" t="s">
        <v>74</v>
      </c>
      <c r="U528" s="148">
        <v>11155440</v>
      </c>
      <c r="V528" s="148">
        <v>11155440</v>
      </c>
      <c r="W528" s="147" t="s">
        <v>75</v>
      </c>
      <c r="X528" s="147" t="s">
        <v>67</v>
      </c>
      <c r="Y528" s="147" t="s">
        <v>1418</v>
      </c>
      <c r="Z528" s="147" t="s">
        <v>1419</v>
      </c>
      <c r="AA528" s="147">
        <v>6012220601</v>
      </c>
      <c r="AB528" s="160" t="s">
        <v>1420</v>
      </c>
      <c r="AC528" s="14"/>
      <c r="AD528" s="14"/>
      <c r="AE528" s="14"/>
      <c r="AF528" s="14"/>
      <c r="AG528" s="14"/>
      <c r="AH528" s="14"/>
      <c r="AI528" s="14"/>
      <c r="AJ528" s="14"/>
      <c r="AK528" s="14"/>
      <c r="AL528" s="14"/>
      <c r="AM528" s="14"/>
      <c r="AN528" s="14"/>
      <c r="AO528" s="14"/>
      <c r="AP528" s="14"/>
      <c r="AQ528" s="14"/>
      <c r="AR528" s="14"/>
      <c r="AS528" s="14"/>
      <c r="AT528" s="14"/>
      <c r="AU528" s="25"/>
      <c r="AV528" s="25"/>
      <c r="AW528" s="25"/>
      <c r="AX528" s="25"/>
      <c r="AY528" s="25"/>
      <c r="AZ528" s="28"/>
      <c r="BA528" s="17"/>
      <c r="BB528" s="17"/>
      <c r="BC528" s="18">
        <f t="shared" si="259"/>
        <v>0</v>
      </c>
      <c r="BD528" s="18">
        <f t="shared" si="260"/>
        <v>0</v>
      </c>
      <c r="BE528" s="19">
        <f t="shared" si="261"/>
        <v>0</v>
      </c>
      <c r="BF528" s="20">
        <f t="shared" si="262"/>
        <v>11155440</v>
      </c>
      <c r="BG528" s="20">
        <f t="shared" si="263"/>
        <v>11155440</v>
      </c>
    </row>
    <row r="529" spans="1:59" ht="14.25" customHeight="1">
      <c r="A529" s="147" t="s">
        <v>1311</v>
      </c>
      <c r="B529" s="147" t="s">
        <v>60</v>
      </c>
      <c r="C529" s="151" t="s">
        <v>733</v>
      </c>
      <c r="D529" s="151" t="s">
        <v>62</v>
      </c>
      <c r="E529" s="151">
        <v>47</v>
      </c>
      <c r="F529" s="149" t="s">
        <v>1421</v>
      </c>
      <c r="G529" s="147" t="s">
        <v>733</v>
      </c>
      <c r="H529" s="147" t="s">
        <v>733</v>
      </c>
      <c r="I529" s="147" t="s">
        <v>733</v>
      </c>
      <c r="J529" s="164">
        <v>81112501</v>
      </c>
      <c r="K529" s="168" t="s">
        <v>1370</v>
      </c>
      <c r="L529" s="168" t="s">
        <v>131</v>
      </c>
      <c r="M529" s="147" t="s">
        <v>1422</v>
      </c>
      <c r="N529" s="147" t="s">
        <v>99</v>
      </c>
      <c r="O529" s="147" t="s">
        <v>99</v>
      </c>
      <c r="P529" s="147" t="s">
        <v>99</v>
      </c>
      <c r="Q529" s="147">
        <v>7</v>
      </c>
      <c r="R529" s="147" t="s">
        <v>72</v>
      </c>
      <c r="S529" s="147" t="s">
        <v>156</v>
      </c>
      <c r="T529" s="147" t="s">
        <v>74</v>
      </c>
      <c r="U529" s="189">
        <v>12016849</v>
      </c>
      <c r="V529" s="189">
        <v>12016849</v>
      </c>
      <c r="W529" s="147" t="s">
        <v>75</v>
      </c>
      <c r="X529" s="147" t="s">
        <v>67</v>
      </c>
      <c r="Y529" s="147" t="s">
        <v>1418</v>
      </c>
      <c r="Z529" s="147" t="s">
        <v>1419</v>
      </c>
      <c r="AA529" s="147">
        <v>6012220601</v>
      </c>
      <c r="AB529" s="160" t="s">
        <v>1420</v>
      </c>
      <c r="AC529" s="14"/>
      <c r="AD529" s="14"/>
      <c r="AE529" s="14"/>
      <c r="AF529" s="14"/>
      <c r="AG529" s="14"/>
      <c r="AH529" s="14"/>
      <c r="AI529" s="14"/>
      <c r="AJ529" s="14"/>
      <c r="AK529" s="14"/>
      <c r="AL529" s="14"/>
      <c r="AM529" s="14"/>
      <c r="AN529" s="14"/>
      <c r="AO529" s="14"/>
      <c r="AP529" s="14"/>
      <c r="AQ529" s="14"/>
      <c r="AR529" s="14"/>
      <c r="AS529" s="14"/>
      <c r="AT529" s="14"/>
      <c r="AU529" s="25"/>
      <c r="AV529" s="25">
        <v>1759410</v>
      </c>
      <c r="AW529" s="25"/>
      <c r="AX529" s="25">
        <v>1759410</v>
      </c>
      <c r="AY529" s="25"/>
      <c r="AZ529" s="28">
        <v>1759413</v>
      </c>
      <c r="BA529" s="17"/>
      <c r="BB529" s="17"/>
      <c r="BC529" s="18">
        <f t="shared" si="259"/>
        <v>0</v>
      </c>
      <c r="BD529" s="18">
        <f t="shared" si="260"/>
        <v>5278233</v>
      </c>
      <c r="BE529" s="19">
        <f t="shared" si="261"/>
        <v>-5278233</v>
      </c>
      <c r="BF529" s="20">
        <f t="shared" si="262"/>
        <v>12016849</v>
      </c>
      <c r="BG529" s="20">
        <f t="shared" si="263"/>
        <v>6738616</v>
      </c>
    </row>
    <row r="530" spans="1:59" ht="14.25" customHeight="1">
      <c r="A530" s="147" t="s">
        <v>1311</v>
      </c>
      <c r="B530" s="147" t="s">
        <v>60</v>
      </c>
      <c r="C530" s="151" t="s">
        <v>733</v>
      </c>
      <c r="D530" s="151" t="s">
        <v>62</v>
      </c>
      <c r="E530" s="151">
        <v>30</v>
      </c>
      <c r="F530" s="149" t="s">
        <v>1423</v>
      </c>
      <c r="G530" s="147" t="s">
        <v>733</v>
      </c>
      <c r="H530" s="147" t="s">
        <v>733</v>
      </c>
      <c r="I530" s="147" t="s">
        <v>733</v>
      </c>
      <c r="J530" s="164">
        <v>80111600</v>
      </c>
      <c r="K530" s="147" t="s">
        <v>1386</v>
      </c>
      <c r="L530" s="147" t="s">
        <v>83</v>
      </c>
      <c r="M530" s="147" t="s">
        <v>1424</v>
      </c>
      <c r="N530" s="147" t="s">
        <v>128</v>
      </c>
      <c r="O530" s="147" t="s">
        <v>128</v>
      </c>
      <c r="P530" s="147" t="s">
        <v>100</v>
      </c>
      <c r="Q530" s="147">
        <v>6</v>
      </c>
      <c r="R530" s="147" t="s">
        <v>72</v>
      </c>
      <c r="S530" s="147" t="s">
        <v>156</v>
      </c>
      <c r="T530" s="147" t="s">
        <v>74</v>
      </c>
      <c r="U530" s="148">
        <v>37359000</v>
      </c>
      <c r="V530" s="148">
        <v>37359000</v>
      </c>
      <c r="W530" s="147" t="s">
        <v>75</v>
      </c>
      <c r="X530" s="147" t="s">
        <v>67</v>
      </c>
      <c r="Y530" s="147" t="s">
        <v>1418</v>
      </c>
      <c r="Z530" s="147"/>
      <c r="AA530" s="147">
        <v>6012220601</v>
      </c>
      <c r="AB530" s="160" t="s">
        <v>1420</v>
      </c>
      <c r="AC530" s="10"/>
      <c r="AD530" s="50"/>
      <c r="AE530" s="10"/>
      <c r="AF530" s="50"/>
      <c r="AG530" s="10"/>
      <c r="AH530" s="50"/>
      <c r="AI530" s="10"/>
      <c r="AJ530" s="10"/>
      <c r="AK530" s="10"/>
      <c r="AL530" s="10"/>
      <c r="AM530" s="10"/>
      <c r="AN530" s="10"/>
      <c r="AO530" s="10"/>
      <c r="AP530" s="10"/>
      <c r="AQ530" s="10"/>
      <c r="AR530" s="10"/>
      <c r="AS530" s="10"/>
      <c r="AT530" s="10"/>
      <c r="AU530" s="10"/>
      <c r="AV530" s="52">
        <v>6226500</v>
      </c>
      <c r="AW530" s="10"/>
      <c r="AX530" s="52">
        <v>6226500</v>
      </c>
      <c r="AY530" s="10"/>
      <c r="AZ530" s="52">
        <v>12453000</v>
      </c>
      <c r="BA530" s="17"/>
      <c r="BB530" s="17"/>
      <c r="BC530" s="18">
        <f t="shared" si="259"/>
        <v>0</v>
      </c>
      <c r="BD530" s="18">
        <f t="shared" si="260"/>
        <v>24906000</v>
      </c>
      <c r="BE530" s="19">
        <f t="shared" si="261"/>
        <v>-24906000</v>
      </c>
      <c r="BF530" s="20">
        <f t="shared" si="262"/>
        <v>37359000</v>
      </c>
      <c r="BG530" s="20">
        <f t="shared" si="263"/>
        <v>12453000</v>
      </c>
    </row>
    <row r="531" spans="1:59" ht="14.25" customHeight="1">
      <c r="A531" s="147" t="s">
        <v>1311</v>
      </c>
      <c r="B531" s="147" t="s">
        <v>60</v>
      </c>
      <c r="C531" s="151" t="s">
        <v>733</v>
      </c>
      <c r="D531" s="151" t="s">
        <v>62</v>
      </c>
      <c r="E531" s="151">
        <v>32</v>
      </c>
      <c r="F531" s="149" t="s">
        <v>1425</v>
      </c>
      <c r="G531" s="147" t="s">
        <v>733</v>
      </c>
      <c r="H531" s="147" t="s">
        <v>733</v>
      </c>
      <c r="I531" s="147" t="s">
        <v>733</v>
      </c>
      <c r="J531" s="164">
        <v>80111620</v>
      </c>
      <c r="K531" s="168" t="s">
        <v>1386</v>
      </c>
      <c r="L531" s="168" t="s">
        <v>83</v>
      </c>
      <c r="M531" s="147" t="s">
        <v>1426</v>
      </c>
      <c r="N531" s="147" t="s">
        <v>100</v>
      </c>
      <c r="O531" s="147" t="s">
        <v>100</v>
      </c>
      <c r="P531" s="147" t="s">
        <v>100</v>
      </c>
      <c r="Q531" s="147">
        <v>6</v>
      </c>
      <c r="R531" s="147" t="s">
        <v>72</v>
      </c>
      <c r="S531" s="147" t="s">
        <v>156</v>
      </c>
      <c r="T531" s="147" t="s">
        <v>74</v>
      </c>
      <c r="U531" s="189">
        <v>23977800</v>
      </c>
      <c r="V531" s="189">
        <v>23977800</v>
      </c>
      <c r="W531" s="147" t="s">
        <v>75</v>
      </c>
      <c r="X531" s="147" t="s">
        <v>67</v>
      </c>
      <c r="Y531" s="147" t="s">
        <v>1418</v>
      </c>
      <c r="Z531" s="147" t="s">
        <v>1419</v>
      </c>
      <c r="AA531" s="147">
        <v>6012220601</v>
      </c>
      <c r="AB531" s="160" t="s">
        <v>1420</v>
      </c>
      <c r="AC531" s="14"/>
      <c r="AD531" s="14"/>
      <c r="AE531" s="14"/>
      <c r="AF531" s="14"/>
      <c r="AG531" s="14"/>
      <c r="AH531" s="14"/>
      <c r="AI531" s="14"/>
      <c r="AJ531" s="14"/>
      <c r="AK531" s="14"/>
      <c r="AL531" s="14"/>
      <c r="AM531" s="14"/>
      <c r="AN531" s="14"/>
      <c r="AO531" s="14"/>
      <c r="AP531" s="14"/>
      <c r="AQ531" s="14"/>
      <c r="AR531" s="14"/>
      <c r="AS531" s="14"/>
      <c r="AT531" s="14"/>
      <c r="AU531" s="25"/>
      <c r="AV531" s="25">
        <v>3996300</v>
      </c>
      <c r="AW531" s="25"/>
      <c r="AX531" s="25">
        <v>3996300</v>
      </c>
      <c r="AY531" s="25"/>
      <c r="AZ531" s="28">
        <v>7992600</v>
      </c>
      <c r="BA531" s="17"/>
      <c r="BB531" s="17"/>
      <c r="BC531" s="18">
        <f t="shared" si="259"/>
        <v>0</v>
      </c>
      <c r="BD531" s="18">
        <f t="shared" si="260"/>
        <v>15985200</v>
      </c>
      <c r="BE531" s="19">
        <f t="shared" si="261"/>
        <v>-15985200</v>
      </c>
      <c r="BF531" s="20">
        <f t="shared" si="262"/>
        <v>23977800</v>
      </c>
      <c r="BG531" s="20">
        <f t="shared" si="263"/>
        <v>7992600</v>
      </c>
    </row>
    <row r="532" spans="1:59" ht="14.25" customHeight="1">
      <c r="A532" s="147" t="s">
        <v>1311</v>
      </c>
      <c r="B532" s="147" t="s">
        <v>60</v>
      </c>
      <c r="C532" s="151" t="s">
        <v>733</v>
      </c>
      <c r="D532" s="151" t="s">
        <v>62</v>
      </c>
      <c r="E532" s="151">
        <v>32</v>
      </c>
      <c r="F532" s="149" t="s">
        <v>1427</v>
      </c>
      <c r="G532" s="147" t="s">
        <v>733</v>
      </c>
      <c r="H532" s="147" t="s">
        <v>733</v>
      </c>
      <c r="I532" s="147" t="s">
        <v>733</v>
      </c>
      <c r="J532" s="164">
        <v>80111620</v>
      </c>
      <c r="K532" s="168" t="s">
        <v>1386</v>
      </c>
      <c r="L532" s="168" t="s">
        <v>83</v>
      </c>
      <c r="M532" s="147" t="s">
        <v>1428</v>
      </c>
      <c r="N532" s="147" t="s">
        <v>100</v>
      </c>
      <c r="O532" s="147" t="s">
        <v>100</v>
      </c>
      <c r="P532" s="147" t="s">
        <v>100</v>
      </c>
      <c r="Q532" s="147">
        <v>6</v>
      </c>
      <c r="R532" s="147" t="s">
        <v>72</v>
      </c>
      <c r="S532" s="147" t="s">
        <v>156</v>
      </c>
      <c r="T532" s="147" t="s">
        <v>74</v>
      </c>
      <c r="U532" s="189">
        <v>23977800</v>
      </c>
      <c r="V532" s="189">
        <v>23977800</v>
      </c>
      <c r="W532" s="147" t="s">
        <v>75</v>
      </c>
      <c r="X532" s="147" t="s">
        <v>67</v>
      </c>
      <c r="Y532" s="147" t="s">
        <v>1418</v>
      </c>
      <c r="Z532" s="147" t="s">
        <v>1419</v>
      </c>
      <c r="AA532" s="147">
        <v>6012220601</v>
      </c>
      <c r="AB532" s="160" t="s">
        <v>1420</v>
      </c>
      <c r="AC532" s="14"/>
      <c r="AD532" s="14"/>
      <c r="AE532" s="14"/>
      <c r="AF532" s="14"/>
      <c r="AG532" s="14"/>
      <c r="AH532" s="14"/>
      <c r="AI532" s="14"/>
      <c r="AJ532" s="14"/>
      <c r="AK532" s="14"/>
      <c r="AL532" s="14"/>
      <c r="AM532" s="14"/>
      <c r="AN532" s="14"/>
      <c r="AO532" s="14"/>
      <c r="AP532" s="14"/>
      <c r="AQ532" s="14"/>
      <c r="AR532" s="14"/>
      <c r="AS532" s="14"/>
      <c r="AT532" s="14"/>
      <c r="AU532" s="25"/>
      <c r="AV532" s="25">
        <v>3996300</v>
      </c>
      <c r="AW532" s="25"/>
      <c r="AX532" s="25">
        <v>3996300</v>
      </c>
      <c r="AY532" s="25"/>
      <c r="AZ532" s="28">
        <v>7992600</v>
      </c>
      <c r="BA532" s="17"/>
      <c r="BB532" s="17"/>
      <c r="BC532" s="18">
        <f t="shared" si="259"/>
        <v>0</v>
      </c>
      <c r="BD532" s="18">
        <f t="shared" si="260"/>
        <v>15985200</v>
      </c>
      <c r="BE532" s="19">
        <f t="shared" si="261"/>
        <v>-15985200</v>
      </c>
      <c r="BF532" s="20">
        <f t="shared" si="262"/>
        <v>23977800</v>
      </c>
      <c r="BG532" s="20">
        <f t="shared" si="263"/>
        <v>7992600</v>
      </c>
    </row>
    <row r="533" spans="1:59" ht="14.25" customHeight="1">
      <c r="A533" s="147" t="s">
        <v>1311</v>
      </c>
      <c r="B533" s="147" t="s">
        <v>60</v>
      </c>
      <c r="C533" s="151" t="s">
        <v>733</v>
      </c>
      <c r="D533" s="151" t="s">
        <v>62</v>
      </c>
      <c r="E533" s="151">
        <v>32</v>
      </c>
      <c r="F533" s="149" t="s">
        <v>1429</v>
      </c>
      <c r="G533" s="147" t="s">
        <v>733</v>
      </c>
      <c r="H533" s="147" t="s">
        <v>733</v>
      </c>
      <c r="I533" s="147" t="s">
        <v>733</v>
      </c>
      <c r="J533" s="164">
        <v>80111620</v>
      </c>
      <c r="K533" s="168" t="s">
        <v>1386</v>
      </c>
      <c r="L533" s="168" t="s">
        <v>83</v>
      </c>
      <c r="M533" s="147" t="s">
        <v>1430</v>
      </c>
      <c r="N533" s="147" t="s">
        <v>100</v>
      </c>
      <c r="O533" s="147" t="s">
        <v>100</v>
      </c>
      <c r="P533" s="147" t="s">
        <v>100</v>
      </c>
      <c r="Q533" s="147">
        <v>6</v>
      </c>
      <c r="R533" s="147" t="s">
        <v>72</v>
      </c>
      <c r="S533" s="147" t="s">
        <v>156</v>
      </c>
      <c r="T533" s="147" t="s">
        <v>74</v>
      </c>
      <c r="U533" s="189">
        <v>37359000</v>
      </c>
      <c r="V533" s="189">
        <v>37359000</v>
      </c>
      <c r="W533" s="147" t="s">
        <v>75</v>
      </c>
      <c r="X533" s="147" t="s">
        <v>67</v>
      </c>
      <c r="Y533" s="147" t="s">
        <v>1418</v>
      </c>
      <c r="Z533" s="147" t="s">
        <v>1419</v>
      </c>
      <c r="AA533" s="147">
        <v>6012220601</v>
      </c>
      <c r="AB533" s="160" t="s">
        <v>1420</v>
      </c>
      <c r="AC533" s="14"/>
      <c r="AD533" s="14"/>
      <c r="AE533" s="14"/>
      <c r="AF533" s="14"/>
      <c r="AG533" s="14"/>
      <c r="AH533" s="14"/>
      <c r="AI533" s="14"/>
      <c r="AJ533" s="14"/>
      <c r="AK533" s="14"/>
      <c r="AL533" s="14"/>
      <c r="AM533" s="14"/>
      <c r="AN533" s="14"/>
      <c r="AO533" s="14"/>
      <c r="AP533" s="14"/>
      <c r="AQ533" s="14"/>
      <c r="AR533" s="14"/>
      <c r="AS533" s="14"/>
      <c r="AT533" s="14"/>
      <c r="AU533" s="25"/>
      <c r="AV533" s="25">
        <v>6226500</v>
      </c>
      <c r="AW533" s="25"/>
      <c r="AX533" s="25">
        <v>6226500</v>
      </c>
      <c r="AY533" s="25"/>
      <c r="AZ533" s="28">
        <v>12453000</v>
      </c>
      <c r="BA533" s="17"/>
      <c r="BB533" s="17"/>
      <c r="BC533" s="18">
        <f t="shared" si="259"/>
        <v>0</v>
      </c>
      <c r="BD533" s="18">
        <f t="shared" si="260"/>
        <v>24906000</v>
      </c>
      <c r="BE533" s="19">
        <f t="shared" si="261"/>
        <v>-24906000</v>
      </c>
      <c r="BF533" s="20">
        <f t="shared" si="262"/>
        <v>37359000</v>
      </c>
      <c r="BG533" s="20">
        <f t="shared" si="263"/>
        <v>12453000</v>
      </c>
    </row>
    <row r="534" spans="1:59" ht="14.25" customHeight="1">
      <c r="A534" s="147" t="s">
        <v>1311</v>
      </c>
      <c r="B534" s="147" t="s">
        <v>60</v>
      </c>
      <c r="C534" s="151" t="s">
        <v>733</v>
      </c>
      <c r="D534" s="151" t="s">
        <v>62</v>
      </c>
      <c r="E534" s="151">
        <v>37</v>
      </c>
      <c r="F534" s="149" t="s">
        <v>1431</v>
      </c>
      <c r="G534" s="147" t="s">
        <v>733</v>
      </c>
      <c r="H534" s="147" t="s">
        <v>733</v>
      </c>
      <c r="I534" s="147" t="s">
        <v>733</v>
      </c>
      <c r="J534" s="164">
        <v>80111620</v>
      </c>
      <c r="K534" s="168" t="s">
        <v>1386</v>
      </c>
      <c r="L534" s="168" t="s">
        <v>83</v>
      </c>
      <c r="M534" s="147" t="s">
        <v>1432</v>
      </c>
      <c r="N534" s="147" t="s">
        <v>100</v>
      </c>
      <c r="O534" s="147" t="s">
        <v>100</v>
      </c>
      <c r="P534" s="147" t="s">
        <v>100</v>
      </c>
      <c r="Q534" s="147">
        <v>160</v>
      </c>
      <c r="R534" s="147" t="s">
        <v>213</v>
      </c>
      <c r="S534" s="147" t="s">
        <v>156</v>
      </c>
      <c r="T534" s="147" t="s">
        <v>74</v>
      </c>
      <c r="U534" s="189">
        <v>33208000</v>
      </c>
      <c r="V534" s="189">
        <v>33208000</v>
      </c>
      <c r="W534" s="147" t="s">
        <v>75</v>
      </c>
      <c r="X534" s="147" t="s">
        <v>67</v>
      </c>
      <c r="Y534" s="147" t="s">
        <v>1390</v>
      </c>
      <c r="Z534" s="147" t="s">
        <v>1433</v>
      </c>
      <c r="AA534" s="147">
        <v>6012220601</v>
      </c>
      <c r="AB534" s="160" t="s">
        <v>1392</v>
      </c>
      <c r="AC534" s="14"/>
      <c r="AD534" s="14"/>
      <c r="AE534" s="14"/>
      <c r="AF534" s="14"/>
      <c r="AG534" s="14"/>
      <c r="AH534" s="14"/>
      <c r="AI534" s="14"/>
      <c r="AJ534" s="14"/>
      <c r="AK534" s="14"/>
      <c r="AL534" s="14"/>
      <c r="AM534" s="14"/>
      <c r="AN534" s="14"/>
      <c r="AO534" s="14"/>
      <c r="AP534" s="14"/>
      <c r="AQ534" s="14"/>
      <c r="AR534" s="14"/>
      <c r="AS534" s="14"/>
      <c r="AT534" s="14"/>
      <c r="AU534" s="25"/>
      <c r="AV534" s="25"/>
      <c r="AW534" s="25"/>
      <c r="AX534" s="25"/>
      <c r="AY534" s="25"/>
      <c r="AZ534" s="28"/>
      <c r="BA534" s="17"/>
      <c r="BB534" s="17"/>
      <c r="BC534" s="18">
        <f t="shared" si="259"/>
        <v>0</v>
      </c>
      <c r="BD534" s="18">
        <f t="shared" si="260"/>
        <v>0</v>
      </c>
      <c r="BE534" s="19">
        <f t="shared" si="261"/>
        <v>0</v>
      </c>
      <c r="BF534" s="20">
        <f t="shared" si="262"/>
        <v>33208000</v>
      </c>
      <c r="BG534" s="20">
        <f t="shared" si="263"/>
        <v>33208000</v>
      </c>
    </row>
    <row r="535" spans="1:59" ht="14.25" customHeight="1">
      <c r="A535" s="147" t="s">
        <v>1311</v>
      </c>
      <c r="B535" s="147" t="s">
        <v>60</v>
      </c>
      <c r="C535" s="151" t="s">
        <v>733</v>
      </c>
      <c r="D535" s="151" t="s">
        <v>62</v>
      </c>
      <c r="E535" s="151">
        <v>33</v>
      </c>
      <c r="F535" s="149" t="s">
        <v>1434</v>
      </c>
      <c r="G535" s="147" t="s">
        <v>733</v>
      </c>
      <c r="H535" s="147" t="s">
        <v>733</v>
      </c>
      <c r="I535" s="147" t="s">
        <v>733</v>
      </c>
      <c r="J535" s="164">
        <v>80111620</v>
      </c>
      <c r="K535" s="168" t="s">
        <v>1435</v>
      </c>
      <c r="L535" s="168" t="s">
        <v>83</v>
      </c>
      <c r="M535" s="147" t="s">
        <v>1436</v>
      </c>
      <c r="N535" s="147" t="s">
        <v>100</v>
      </c>
      <c r="O535" s="147" t="s">
        <v>100</v>
      </c>
      <c r="P535" s="147" t="s">
        <v>100</v>
      </c>
      <c r="Q535" s="147">
        <v>160</v>
      </c>
      <c r="R535" s="147" t="s">
        <v>213</v>
      </c>
      <c r="S535" s="147" t="s">
        <v>156</v>
      </c>
      <c r="T535" s="147" t="s">
        <v>74</v>
      </c>
      <c r="U535" s="189">
        <v>35537600</v>
      </c>
      <c r="V535" s="189">
        <v>35537600</v>
      </c>
      <c r="W535" s="147" t="s">
        <v>75</v>
      </c>
      <c r="X535" s="147" t="s">
        <v>67</v>
      </c>
      <c r="Y535" s="147" t="s">
        <v>163</v>
      </c>
      <c r="Z535" s="147" t="s">
        <v>1437</v>
      </c>
      <c r="AA535" s="147">
        <v>6012220601</v>
      </c>
      <c r="AB535" s="160" t="s">
        <v>1438</v>
      </c>
      <c r="AC535" s="14"/>
      <c r="AD535" s="14"/>
      <c r="AE535" s="14"/>
      <c r="AF535" s="14"/>
      <c r="AG535" s="14"/>
      <c r="AH535" s="14"/>
      <c r="AI535" s="14"/>
      <c r="AJ535" s="14"/>
      <c r="AK535" s="14"/>
      <c r="AL535" s="14"/>
      <c r="AM535" s="14"/>
      <c r="AN535" s="14"/>
      <c r="AO535" s="14"/>
      <c r="AP535" s="14"/>
      <c r="AQ535" s="14"/>
      <c r="AR535" s="14"/>
      <c r="AS535" s="14"/>
      <c r="AT535" s="14"/>
      <c r="AU535" s="25"/>
      <c r="AV535" s="25"/>
      <c r="AW535" s="25"/>
      <c r="AX535" s="25"/>
      <c r="AY535" s="25"/>
      <c r="AZ535" s="28"/>
      <c r="BA535" s="17"/>
      <c r="BB535" s="17"/>
      <c r="BC535" s="18">
        <f t="shared" si="259"/>
        <v>0</v>
      </c>
      <c r="BD535" s="18">
        <f t="shared" si="260"/>
        <v>0</v>
      </c>
      <c r="BE535" s="19">
        <f t="shared" si="261"/>
        <v>0</v>
      </c>
      <c r="BF535" s="20">
        <f t="shared" si="262"/>
        <v>35537600</v>
      </c>
      <c r="BG535" s="20">
        <f t="shared" si="263"/>
        <v>35537600</v>
      </c>
    </row>
    <row r="536" spans="1:59" ht="14.25" customHeight="1">
      <c r="A536" s="147" t="s">
        <v>1311</v>
      </c>
      <c r="B536" s="147" t="s">
        <v>60</v>
      </c>
      <c r="C536" s="151" t="s">
        <v>733</v>
      </c>
      <c r="D536" s="151" t="s">
        <v>62</v>
      </c>
      <c r="E536" s="151">
        <v>35</v>
      </c>
      <c r="F536" s="149" t="s">
        <v>1439</v>
      </c>
      <c r="G536" s="147" t="s">
        <v>733</v>
      </c>
      <c r="H536" s="147" t="s">
        <v>733</v>
      </c>
      <c r="I536" s="147" t="s">
        <v>733</v>
      </c>
      <c r="J536" s="164">
        <v>80111620</v>
      </c>
      <c r="K536" s="168" t="s">
        <v>1386</v>
      </c>
      <c r="L536" s="168" t="s">
        <v>83</v>
      </c>
      <c r="M536" s="147" t="s">
        <v>1440</v>
      </c>
      <c r="N536" s="147" t="s">
        <v>100</v>
      </c>
      <c r="O536" s="147" t="s">
        <v>100</v>
      </c>
      <c r="P536" s="147" t="s">
        <v>142</v>
      </c>
      <c r="Q536" s="147">
        <v>5</v>
      </c>
      <c r="R536" s="168" t="s">
        <v>72</v>
      </c>
      <c r="S536" s="147" t="s">
        <v>156</v>
      </c>
      <c r="T536" s="147" t="s">
        <v>74</v>
      </c>
      <c r="U536" s="189">
        <v>11676000</v>
      </c>
      <c r="V536" s="189">
        <v>11676000</v>
      </c>
      <c r="W536" s="147" t="s">
        <v>75</v>
      </c>
      <c r="X536" s="147" t="s">
        <v>67</v>
      </c>
      <c r="Y536" s="147" t="s">
        <v>1418</v>
      </c>
      <c r="Z536" s="147" t="s">
        <v>1419</v>
      </c>
      <c r="AA536" s="147">
        <v>6012220601</v>
      </c>
      <c r="AB536" s="160" t="s">
        <v>1420</v>
      </c>
      <c r="AC536" s="14"/>
      <c r="AD536" s="14"/>
      <c r="AE536" s="14"/>
      <c r="AF536" s="14"/>
      <c r="AG536" s="14"/>
      <c r="AH536" s="14"/>
      <c r="AI536" s="14"/>
      <c r="AJ536" s="14"/>
      <c r="AK536" s="14"/>
      <c r="AL536" s="14"/>
      <c r="AM536" s="14"/>
      <c r="AN536" s="14"/>
      <c r="AO536" s="14"/>
      <c r="AP536" s="14"/>
      <c r="AQ536" s="14"/>
      <c r="AR536" s="14"/>
      <c r="AS536" s="14"/>
      <c r="AT536" s="14"/>
      <c r="AU536" s="25"/>
      <c r="AV536" s="25"/>
      <c r="AW536" s="25"/>
      <c r="AX536" s="25"/>
      <c r="AY536" s="25"/>
      <c r="AZ536" s="28"/>
      <c r="BA536" s="17"/>
      <c r="BB536" s="17"/>
      <c r="BC536" s="18">
        <f t="shared" si="259"/>
        <v>0</v>
      </c>
      <c r="BD536" s="18">
        <f t="shared" si="260"/>
        <v>0</v>
      </c>
      <c r="BE536" s="19">
        <f t="shared" si="261"/>
        <v>0</v>
      </c>
      <c r="BF536" s="20">
        <f t="shared" si="262"/>
        <v>11676000</v>
      </c>
      <c r="BG536" s="20">
        <f t="shared" si="263"/>
        <v>11676000</v>
      </c>
    </row>
    <row r="537" spans="1:59" ht="14.25" customHeight="1">
      <c r="A537" s="147" t="s">
        <v>1311</v>
      </c>
      <c r="B537" s="147" t="s">
        <v>60</v>
      </c>
      <c r="C537" s="151" t="s">
        <v>733</v>
      </c>
      <c r="D537" s="151" t="s">
        <v>62</v>
      </c>
      <c r="E537" s="151">
        <v>35</v>
      </c>
      <c r="F537" s="149" t="s">
        <v>1441</v>
      </c>
      <c r="G537" s="147" t="s">
        <v>733</v>
      </c>
      <c r="H537" s="147" t="s">
        <v>733</v>
      </c>
      <c r="I537" s="147" t="s">
        <v>733</v>
      </c>
      <c r="J537" s="164">
        <v>80111620</v>
      </c>
      <c r="K537" s="168" t="s">
        <v>1386</v>
      </c>
      <c r="L537" s="168" t="s">
        <v>83</v>
      </c>
      <c r="M537" s="147" t="s">
        <v>1442</v>
      </c>
      <c r="N537" s="147" t="s">
        <v>100</v>
      </c>
      <c r="O537" s="147" t="s">
        <v>100</v>
      </c>
      <c r="P537" s="147" t="s">
        <v>142</v>
      </c>
      <c r="Q537" s="147">
        <v>5</v>
      </c>
      <c r="R537" s="168" t="s">
        <v>72</v>
      </c>
      <c r="S537" s="147" t="s">
        <v>156</v>
      </c>
      <c r="T537" s="147" t="s">
        <v>74</v>
      </c>
      <c r="U537" s="189">
        <v>28700000</v>
      </c>
      <c r="V537" s="189">
        <v>28700000</v>
      </c>
      <c r="W537" s="147" t="s">
        <v>75</v>
      </c>
      <c r="X537" s="147" t="s">
        <v>67</v>
      </c>
      <c r="Y537" s="147" t="s">
        <v>163</v>
      </c>
      <c r="Z537" s="147" t="s">
        <v>1437</v>
      </c>
      <c r="AA537" s="147">
        <v>6012220601</v>
      </c>
      <c r="AB537" s="160" t="s">
        <v>1438</v>
      </c>
      <c r="AC537" s="14"/>
      <c r="AD537" s="14"/>
      <c r="AE537" s="14"/>
      <c r="AF537" s="14"/>
      <c r="AG537" s="14"/>
      <c r="AH537" s="14"/>
      <c r="AI537" s="14"/>
      <c r="AJ537" s="14"/>
      <c r="AK537" s="14"/>
      <c r="AL537" s="14"/>
      <c r="AM537" s="14"/>
      <c r="AN537" s="14"/>
      <c r="AO537" s="14"/>
      <c r="AP537" s="14"/>
      <c r="AQ537" s="14"/>
      <c r="AR537" s="14"/>
      <c r="AS537" s="14"/>
      <c r="AT537" s="14"/>
      <c r="AU537" s="25"/>
      <c r="AV537" s="25"/>
      <c r="AW537" s="25"/>
      <c r="AX537" s="25"/>
      <c r="AY537" s="25"/>
      <c r="AZ537" s="28"/>
      <c r="BA537" s="17"/>
      <c r="BB537" s="17"/>
      <c r="BC537" s="18">
        <f t="shared" si="259"/>
        <v>0</v>
      </c>
      <c r="BD537" s="18">
        <f t="shared" si="260"/>
        <v>0</v>
      </c>
      <c r="BE537" s="19">
        <f t="shared" si="261"/>
        <v>0</v>
      </c>
      <c r="BF537" s="20">
        <f t="shared" si="262"/>
        <v>28700000</v>
      </c>
      <c r="BG537" s="20">
        <f t="shared" si="263"/>
        <v>28700000</v>
      </c>
    </row>
    <row r="538" spans="1:59" ht="15.75" customHeight="1">
      <c r="A538" s="147" t="s">
        <v>1311</v>
      </c>
      <c r="B538" s="147" t="s">
        <v>60</v>
      </c>
      <c r="C538" s="151" t="s">
        <v>733</v>
      </c>
      <c r="D538" s="151" t="s">
        <v>62</v>
      </c>
      <c r="E538" s="151">
        <v>43</v>
      </c>
      <c r="F538" s="149" t="s">
        <v>1443</v>
      </c>
      <c r="G538" s="147" t="s">
        <v>733</v>
      </c>
      <c r="H538" s="147" t="s">
        <v>733</v>
      </c>
      <c r="I538" s="147" t="s">
        <v>733</v>
      </c>
      <c r="J538" s="164">
        <v>80111620</v>
      </c>
      <c r="K538" s="168" t="s">
        <v>1386</v>
      </c>
      <c r="L538" s="168" t="s">
        <v>83</v>
      </c>
      <c r="M538" s="147" t="s">
        <v>1444</v>
      </c>
      <c r="N538" s="147" t="s">
        <v>71</v>
      </c>
      <c r="O538" s="147" t="s">
        <v>71</v>
      </c>
      <c r="P538" s="147" t="s">
        <v>71</v>
      </c>
      <c r="Q538" s="147">
        <v>4</v>
      </c>
      <c r="R538" s="168" t="s">
        <v>72</v>
      </c>
      <c r="S538" s="147" t="s">
        <v>156</v>
      </c>
      <c r="T538" s="147" t="s">
        <v>74</v>
      </c>
      <c r="U538" s="189">
        <v>0</v>
      </c>
      <c r="V538" s="189">
        <v>0</v>
      </c>
      <c r="W538" s="147" t="s">
        <v>75</v>
      </c>
      <c r="X538" s="147" t="s">
        <v>67</v>
      </c>
      <c r="Y538" s="147" t="s">
        <v>1418</v>
      </c>
      <c r="Z538" s="147" t="s">
        <v>1419</v>
      </c>
      <c r="AA538" s="147">
        <v>6012220601</v>
      </c>
      <c r="AB538" s="160" t="s">
        <v>1420</v>
      </c>
      <c r="AC538" s="14"/>
      <c r="AD538" s="14"/>
      <c r="AE538" s="14"/>
      <c r="AF538" s="14"/>
      <c r="AG538" s="14"/>
      <c r="AH538" s="14"/>
      <c r="AI538" s="14"/>
      <c r="AJ538" s="14"/>
      <c r="AK538" s="14"/>
      <c r="AL538" s="14"/>
      <c r="AM538" s="14"/>
      <c r="AN538" s="14"/>
      <c r="AO538" s="14"/>
      <c r="AP538" s="14"/>
      <c r="AQ538" s="14"/>
      <c r="AR538" s="14"/>
      <c r="AS538" s="14"/>
      <c r="AT538" s="14"/>
      <c r="AU538" s="25"/>
      <c r="AV538" s="25"/>
      <c r="AW538" s="25"/>
      <c r="AX538" s="25"/>
      <c r="AY538" s="25"/>
      <c r="AZ538" s="28"/>
      <c r="BA538" s="17"/>
      <c r="BB538" s="17"/>
      <c r="BC538" s="18">
        <f t="shared" si="259"/>
        <v>0</v>
      </c>
      <c r="BD538" s="18">
        <f t="shared" si="260"/>
        <v>0</v>
      </c>
      <c r="BE538" s="19">
        <f t="shared" si="261"/>
        <v>0</v>
      </c>
      <c r="BF538" s="20">
        <f t="shared" si="262"/>
        <v>0</v>
      </c>
      <c r="BG538" s="20">
        <f t="shared" si="263"/>
        <v>0</v>
      </c>
    </row>
    <row r="539" spans="1:59" ht="14.25" customHeight="1">
      <c r="A539" s="147" t="s">
        <v>1311</v>
      </c>
      <c r="B539" s="147" t="s">
        <v>60</v>
      </c>
      <c r="C539" s="151" t="s">
        <v>733</v>
      </c>
      <c r="D539" s="151" t="s">
        <v>62</v>
      </c>
      <c r="E539" s="151">
        <v>37</v>
      </c>
      <c r="F539" s="149" t="s">
        <v>1445</v>
      </c>
      <c r="G539" s="147" t="s">
        <v>733</v>
      </c>
      <c r="H539" s="147" t="s">
        <v>733</v>
      </c>
      <c r="I539" s="147" t="s">
        <v>733</v>
      </c>
      <c r="J539" s="164">
        <v>80111620</v>
      </c>
      <c r="K539" s="168" t="s">
        <v>1386</v>
      </c>
      <c r="L539" s="168" t="s">
        <v>83</v>
      </c>
      <c r="M539" s="147" t="s">
        <v>1446</v>
      </c>
      <c r="N539" s="147" t="s">
        <v>142</v>
      </c>
      <c r="O539" s="147" t="s">
        <v>142</v>
      </c>
      <c r="P539" s="147" t="s">
        <v>142</v>
      </c>
      <c r="Q539" s="147">
        <v>5</v>
      </c>
      <c r="R539" s="168" t="s">
        <v>72</v>
      </c>
      <c r="S539" s="147" t="s">
        <v>156</v>
      </c>
      <c r="T539" s="147" t="s">
        <v>74</v>
      </c>
      <c r="U539" s="189">
        <v>16422250</v>
      </c>
      <c r="V539" s="189">
        <v>16422250</v>
      </c>
      <c r="W539" s="147" t="s">
        <v>75</v>
      </c>
      <c r="X539" s="147" t="s">
        <v>67</v>
      </c>
      <c r="Y539" s="147" t="s">
        <v>1418</v>
      </c>
      <c r="Z539" s="147" t="s">
        <v>1419</v>
      </c>
      <c r="AA539" s="147">
        <v>6012220601</v>
      </c>
      <c r="AB539" s="160" t="s">
        <v>1420</v>
      </c>
      <c r="AC539" s="14"/>
      <c r="AD539" s="14"/>
      <c r="AE539" s="14"/>
      <c r="AF539" s="14"/>
      <c r="AG539" s="14"/>
      <c r="AH539" s="14"/>
      <c r="AI539" s="14"/>
      <c r="AJ539" s="14"/>
      <c r="AK539" s="14"/>
      <c r="AL539" s="14"/>
      <c r="AM539" s="14"/>
      <c r="AN539" s="14"/>
      <c r="AO539" s="14"/>
      <c r="AP539" s="14"/>
      <c r="AQ539" s="14"/>
      <c r="AR539" s="14"/>
      <c r="AS539" s="14"/>
      <c r="AT539" s="14"/>
      <c r="AU539" s="25"/>
      <c r="AV539" s="25"/>
      <c r="AW539" s="25"/>
      <c r="AX539" s="25"/>
      <c r="AY539" s="25"/>
      <c r="AZ539" s="28"/>
      <c r="BA539" s="17"/>
      <c r="BB539" s="17"/>
      <c r="BC539" s="18">
        <f t="shared" si="259"/>
        <v>0</v>
      </c>
      <c r="BD539" s="18">
        <f t="shared" si="260"/>
        <v>0</v>
      </c>
      <c r="BE539" s="19">
        <f t="shared" si="261"/>
        <v>0</v>
      </c>
      <c r="BF539" s="20">
        <f t="shared" si="262"/>
        <v>16422250</v>
      </c>
      <c r="BG539" s="20">
        <f t="shared" si="263"/>
        <v>16422250</v>
      </c>
    </row>
    <row r="540" spans="1:59" ht="14.25" customHeight="1">
      <c r="A540" s="147" t="s">
        <v>1311</v>
      </c>
      <c r="B540" s="147" t="s">
        <v>60</v>
      </c>
      <c r="C540" s="151" t="s">
        <v>733</v>
      </c>
      <c r="D540" s="151" t="s">
        <v>62</v>
      </c>
      <c r="E540" s="151">
        <v>44</v>
      </c>
      <c r="F540" s="149" t="s">
        <v>1447</v>
      </c>
      <c r="G540" s="147" t="s">
        <v>733</v>
      </c>
      <c r="H540" s="147" t="s">
        <v>733</v>
      </c>
      <c r="I540" s="147" t="s">
        <v>733</v>
      </c>
      <c r="J540" s="164">
        <v>80111620</v>
      </c>
      <c r="K540" s="168" t="s">
        <v>1386</v>
      </c>
      <c r="L540" s="168" t="s">
        <v>83</v>
      </c>
      <c r="M540" s="147" t="s">
        <v>1448</v>
      </c>
      <c r="N540" s="147" t="s">
        <v>71</v>
      </c>
      <c r="O540" s="147" t="s">
        <v>71</v>
      </c>
      <c r="P540" s="147" t="s">
        <v>71</v>
      </c>
      <c r="Q540" s="147">
        <v>3.7</v>
      </c>
      <c r="R540" s="168" t="s">
        <v>72</v>
      </c>
      <c r="S540" s="147" t="s">
        <v>156</v>
      </c>
      <c r="T540" s="147" t="s">
        <v>74</v>
      </c>
      <c r="U540" s="189">
        <v>0</v>
      </c>
      <c r="V540" s="189">
        <v>0</v>
      </c>
      <c r="W540" s="147" t="s">
        <v>75</v>
      </c>
      <c r="X540" s="147" t="s">
        <v>67</v>
      </c>
      <c r="Y540" s="147" t="s">
        <v>1449</v>
      </c>
      <c r="Z540" s="147" t="s">
        <v>1419</v>
      </c>
      <c r="AA540" s="147">
        <v>6012220601</v>
      </c>
      <c r="AB540" s="160" t="s">
        <v>1450</v>
      </c>
      <c r="AC540" s="14"/>
      <c r="AD540" s="14"/>
      <c r="AE540" s="14"/>
      <c r="AF540" s="14"/>
      <c r="AG540" s="14"/>
      <c r="AH540" s="14"/>
      <c r="AI540" s="14"/>
      <c r="AJ540" s="14"/>
      <c r="AK540" s="14"/>
      <c r="AL540" s="14"/>
      <c r="AM540" s="14"/>
      <c r="AN540" s="14"/>
      <c r="AO540" s="14"/>
      <c r="AP540" s="14"/>
      <c r="AQ540" s="14"/>
      <c r="AR540" s="14"/>
      <c r="AS540" s="14"/>
      <c r="AT540" s="14"/>
      <c r="AU540" s="25"/>
      <c r="AV540" s="25"/>
      <c r="AW540" s="25"/>
      <c r="AX540" s="25"/>
      <c r="AY540" s="25"/>
      <c r="AZ540" s="28"/>
      <c r="BA540" s="17"/>
      <c r="BB540" s="17"/>
      <c r="BC540" s="18">
        <f t="shared" si="259"/>
        <v>0</v>
      </c>
      <c r="BD540" s="18">
        <f t="shared" si="260"/>
        <v>0</v>
      </c>
      <c r="BE540" s="19">
        <f t="shared" si="261"/>
        <v>0</v>
      </c>
      <c r="BF540" s="20">
        <f t="shared" si="262"/>
        <v>0</v>
      </c>
      <c r="BG540" s="20">
        <f t="shared" si="263"/>
        <v>0</v>
      </c>
    </row>
    <row r="541" spans="1:59" ht="14.25" customHeight="1">
      <c r="A541" s="147" t="s">
        <v>1311</v>
      </c>
      <c r="B541" s="147" t="s">
        <v>60</v>
      </c>
      <c r="C541" s="151" t="s">
        <v>733</v>
      </c>
      <c r="D541" s="151" t="s">
        <v>62</v>
      </c>
      <c r="E541" s="151">
        <v>44</v>
      </c>
      <c r="F541" s="149" t="s">
        <v>1451</v>
      </c>
      <c r="G541" s="147" t="s">
        <v>733</v>
      </c>
      <c r="H541" s="147" t="s">
        <v>733</v>
      </c>
      <c r="I541" s="147" t="s">
        <v>733</v>
      </c>
      <c r="J541" s="164">
        <v>80101126</v>
      </c>
      <c r="K541" s="168" t="s">
        <v>1386</v>
      </c>
      <c r="L541" s="168" t="s">
        <v>83</v>
      </c>
      <c r="M541" s="147" t="s">
        <v>1452</v>
      </c>
      <c r="N541" s="147" t="s">
        <v>71</v>
      </c>
      <c r="O541" s="147" t="s">
        <v>71</v>
      </c>
      <c r="P541" s="147" t="s">
        <v>71</v>
      </c>
      <c r="Q541" s="147">
        <v>3.5</v>
      </c>
      <c r="R541" s="168" t="s">
        <v>72</v>
      </c>
      <c r="S541" s="147" t="s">
        <v>156</v>
      </c>
      <c r="T541" s="147" t="s">
        <v>74</v>
      </c>
      <c r="U541" s="189">
        <v>14894040</v>
      </c>
      <c r="V541" s="189">
        <v>14894040</v>
      </c>
      <c r="W541" s="147" t="s">
        <v>75</v>
      </c>
      <c r="X541" s="147" t="s">
        <v>67</v>
      </c>
      <c r="Y541" s="147" t="s">
        <v>1449</v>
      </c>
      <c r="Z541" s="147" t="s">
        <v>1419</v>
      </c>
      <c r="AA541" s="147">
        <v>6012220601</v>
      </c>
      <c r="AB541" s="160" t="s">
        <v>1450</v>
      </c>
      <c r="AC541" s="14"/>
      <c r="AD541" s="14"/>
      <c r="AE541" s="14"/>
      <c r="AF541" s="14"/>
      <c r="AG541" s="14"/>
      <c r="AH541" s="14"/>
      <c r="AI541" s="14"/>
      <c r="AJ541" s="14"/>
      <c r="AK541" s="14"/>
      <c r="AL541" s="14"/>
      <c r="AM541" s="14"/>
      <c r="AN541" s="14"/>
      <c r="AO541" s="14"/>
      <c r="AP541" s="14"/>
      <c r="AQ541" s="14"/>
      <c r="AR541" s="14"/>
      <c r="AS541" s="14"/>
      <c r="AT541" s="14"/>
      <c r="AU541" s="25"/>
      <c r="AV541" s="25"/>
      <c r="AW541" s="25"/>
      <c r="AX541" s="25"/>
      <c r="AY541" s="25"/>
      <c r="AZ541" s="28"/>
      <c r="BA541" s="17"/>
      <c r="BB541" s="17"/>
      <c r="BC541" s="18">
        <f t="shared" si="259"/>
        <v>0</v>
      </c>
      <c r="BD541" s="18">
        <f t="shared" si="260"/>
        <v>0</v>
      </c>
      <c r="BE541" s="19">
        <f t="shared" si="261"/>
        <v>0</v>
      </c>
      <c r="BF541" s="20">
        <f t="shared" si="262"/>
        <v>14894040</v>
      </c>
      <c r="BG541" s="20">
        <f t="shared" si="263"/>
        <v>14894040</v>
      </c>
    </row>
    <row r="542" spans="1:59" ht="14.25" customHeight="1">
      <c r="A542" s="147" t="s">
        <v>1311</v>
      </c>
      <c r="B542" s="147" t="s">
        <v>60</v>
      </c>
      <c r="C542" s="151" t="s">
        <v>733</v>
      </c>
      <c r="D542" s="151" t="s">
        <v>62</v>
      </c>
      <c r="E542" s="151">
        <v>44</v>
      </c>
      <c r="F542" s="149" t="s">
        <v>1453</v>
      </c>
      <c r="G542" s="147" t="s">
        <v>733</v>
      </c>
      <c r="H542" s="147" t="s">
        <v>733</v>
      </c>
      <c r="I542" s="147" t="s">
        <v>733</v>
      </c>
      <c r="J542" s="164">
        <v>80101126</v>
      </c>
      <c r="K542" s="168" t="s">
        <v>1386</v>
      </c>
      <c r="L542" s="168" t="s">
        <v>83</v>
      </c>
      <c r="M542" s="147" t="s">
        <v>1454</v>
      </c>
      <c r="N542" s="147" t="s">
        <v>71</v>
      </c>
      <c r="O542" s="147" t="s">
        <v>71</v>
      </c>
      <c r="P542" s="147" t="s">
        <v>71</v>
      </c>
      <c r="Q542" s="147">
        <v>3.5</v>
      </c>
      <c r="R542" s="168" t="s">
        <v>72</v>
      </c>
      <c r="S542" s="147" t="s">
        <v>156</v>
      </c>
      <c r="T542" s="147" t="s">
        <v>74</v>
      </c>
      <c r="U542" s="189">
        <v>6383475</v>
      </c>
      <c r="V542" s="189">
        <v>6383475</v>
      </c>
      <c r="W542" s="147" t="s">
        <v>75</v>
      </c>
      <c r="X542" s="147" t="s">
        <v>67</v>
      </c>
      <c r="Y542" s="147" t="s">
        <v>152</v>
      </c>
      <c r="Z542" s="147" t="s">
        <v>1455</v>
      </c>
      <c r="AA542" s="147">
        <v>6012220601</v>
      </c>
      <c r="AB542" s="160" t="s">
        <v>1456</v>
      </c>
      <c r="AC542" s="14"/>
      <c r="AD542" s="14"/>
      <c r="AE542" s="14"/>
      <c r="AF542" s="14"/>
      <c r="AG542" s="14"/>
      <c r="AH542" s="14"/>
      <c r="AI542" s="14"/>
      <c r="AJ542" s="14"/>
      <c r="AK542" s="14"/>
      <c r="AL542" s="14"/>
      <c r="AM542" s="14"/>
      <c r="AN542" s="14"/>
      <c r="AO542" s="14"/>
      <c r="AP542" s="14"/>
      <c r="AQ542" s="14"/>
      <c r="AR542" s="14"/>
      <c r="AS542" s="14"/>
      <c r="AT542" s="14"/>
      <c r="AU542" s="25"/>
      <c r="AV542" s="25"/>
      <c r="AW542" s="25"/>
      <c r="AX542" s="25"/>
      <c r="AY542" s="25"/>
      <c r="AZ542" s="28"/>
      <c r="BA542" s="17"/>
      <c r="BB542" s="17"/>
      <c r="BC542" s="18">
        <f t="shared" si="259"/>
        <v>0</v>
      </c>
      <c r="BD542" s="18">
        <f t="shared" si="260"/>
        <v>0</v>
      </c>
      <c r="BE542" s="19">
        <f t="shared" si="261"/>
        <v>0</v>
      </c>
      <c r="BF542" s="20">
        <f t="shared" si="262"/>
        <v>6383475</v>
      </c>
      <c r="BG542" s="20">
        <f t="shared" si="263"/>
        <v>6383475</v>
      </c>
    </row>
    <row r="543" spans="1:59" ht="14.25" customHeight="1">
      <c r="A543" s="147" t="s">
        <v>1311</v>
      </c>
      <c r="B543" s="147" t="s">
        <v>60</v>
      </c>
      <c r="C543" s="151" t="s">
        <v>733</v>
      </c>
      <c r="D543" s="151" t="s">
        <v>62</v>
      </c>
      <c r="E543" s="151">
        <v>44</v>
      </c>
      <c r="F543" s="149" t="s">
        <v>1457</v>
      </c>
      <c r="G543" s="147" t="s">
        <v>733</v>
      </c>
      <c r="H543" s="147" t="s">
        <v>733</v>
      </c>
      <c r="I543" s="147" t="s">
        <v>733</v>
      </c>
      <c r="J543" s="164">
        <v>80111620</v>
      </c>
      <c r="K543" s="168" t="s">
        <v>1386</v>
      </c>
      <c r="L543" s="168" t="s">
        <v>83</v>
      </c>
      <c r="M543" s="147" t="s">
        <v>1458</v>
      </c>
      <c r="N543" s="147" t="s">
        <v>71</v>
      </c>
      <c r="O543" s="147" t="s">
        <v>71</v>
      </c>
      <c r="P543" s="147" t="s">
        <v>180</v>
      </c>
      <c r="Q543" s="147">
        <v>3</v>
      </c>
      <c r="R543" s="168" t="s">
        <v>72</v>
      </c>
      <c r="S543" s="147" t="s">
        <v>156</v>
      </c>
      <c r="T543" s="147" t="s">
        <v>74</v>
      </c>
      <c r="U543" s="189">
        <v>21000000</v>
      </c>
      <c r="V543" s="189">
        <v>21000000</v>
      </c>
      <c r="W543" s="147" t="s">
        <v>75</v>
      </c>
      <c r="X543" s="147" t="s">
        <v>67</v>
      </c>
      <c r="Y543" s="147" t="s">
        <v>1390</v>
      </c>
      <c r="Z543" s="147" t="s">
        <v>1459</v>
      </c>
      <c r="AA543" s="147">
        <v>6012220601</v>
      </c>
      <c r="AB543" s="160" t="s">
        <v>1392</v>
      </c>
      <c r="AC543" s="14"/>
      <c r="AD543" s="14"/>
      <c r="AE543" s="14"/>
      <c r="AF543" s="14"/>
      <c r="AG543" s="14"/>
      <c r="AH543" s="14"/>
      <c r="AI543" s="14"/>
      <c r="AJ543" s="14"/>
      <c r="AK543" s="14"/>
      <c r="AL543" s="14"/>
      <c r="AM543" s="14"/>
      <c r="AN543" s="14"/>
      <c r="AO543" s="14"/>
      <c r="AP543" s="14"/>
      <c r="AQ543" s="14"/>
      <c r="AR543" s="14"/>
      <c r="AS543" s="14"/>
      <c r="AT543" s="14"/>
      <c r="AU543" s="25"/>
      <c r="AV543" s="25"/>
      <c r="AW543" s="25"/>
      <c r="AX543" s="25"/>
      <c r="AY543" s="25"/>
      <c r="AZ543" s="28"/>
      <c r="BA543" s="17"/>
      <c r="BB543" s="17"/>
      <c r="BC543" s="18">
        <f t="shared" si="259"/>
        <v>0</v>
      </c>
      <c r="BD543" s="18">
        <f t="shared" si="260"/>
        <v>0</v>
      </c>
      <c r="BE543" s="19">
        <f t="shared" si="261"/>
        <v>0</v>
      </c>
      <c r="BF543" s="20">
        <f t="shared" si="262"/>
        <v>21000000</v>
      </c>
      <c r="BG543" s="20">
        <f t="shared" si="263"/>
        <v>21000000</v>
      </c>
    </row>
    <row r="544" spans="1:59" ht="14.25" customHeight="1">
      <c r="A544" s="147" t="s">
        <v>1311</v>
      </c>
      <c r="B544" s="147" t="s">
        <v>1057</v>
      </c>
      <c r="C544" s="151" t="s">
        <v>733</v>
      </c>
      <c r="D544" s="151" t="s">
        <v>62</v>
      </c>
      <c r="E544" s="151" t="s">
        <v>114</v>
      </c>
      <c r="F544" s="149" t="s">
        <v>1460</v>
      </c>
      <c r="G544" s="147" t="s">
        <v>733</v>
      </c>
      <c r="H544" s="147" t="s">
        <v>733</v>
      </c>
      <c r="I544" s="147" t="s">
        <v>733</v>
      </c>
      <c r="J544" s="164">
        <v>80111620</v>
      </c>
      <c r="K544" s="168" t="s">
        <v>1416</v>
      </c>
      <c r="L544" s="168" t="s">
        <v>83</v>
      </c>
      <c r="M544" s="168" t="s">
        <v>1461</v>
      </c>
      <c r="N544" s="168" t="s">
        <v>91</v>
      </c>
      <c r="O544" s="168" t="s">
        <v>91</v>
      </c>
      <c r="P544" s="168" t="s">
        <v>91</v>
      </c>
      <c r="Q544" s="147">
        <v>11.5</v>
      </c>
      <c r="R544" s="168" t="s">
        <v>72</v>
      </c>
      <c r="S544" s="168" t="s">
        <v>73</v>
      </c>
      <c r="T544" s="168" t="s">
        <v>74</v>
      </c>
      <c r="U544" s="148">
        <v>91335300</v>
      </c>
      <c r="V544" s="148">
        <v>91335300</v>
      </c>
      <c r="W544" s="168" t="s">
        <v>75</v>
      </c>
      <c r="X544" s="168" t="s">
        <v>67</v>
      </c>
      <c r="Y544" s="168" t="s">
        <v>1064</v>
      </c>
      <c r="Z544" s="168" t="s">
        <v>1065</v>
      </c>
      <c r="AA544" s="147">
        <v>6012220601</v>
      </c>
      <c r="AB544" s="205" t="s">
        <v>1066</v>
      </c>
      <c r="AC544" s="14"/>
      <c r="AD544" s="14"/>
      <c r="AE544" s="14"/>
      <c r="AF544" s="14"/>
      <c r="AG544" s="14"/>
      <c r="AH544" s="14"/>
      <c r="AI544" s="14"/>
      <c r="AJ544" s="14"/>
      <c r="AK544" s="14"/>
      <c r="AL544" s="14"/>
      <c r="AM544" s="14"/>
      <c r="AN544" s="14"/>
      <c r="AO544" s="14"/>
      <c r="AP544" s="14"/>
      <c r="AQ544" s="14"/>
      <c r="AR544" s="14"/>
      <c r="AS544" s="14"/>
      <c r="AT544" s="14"/>
      <c r="AU544" s="25"/>
      <c r="AV544" s="25">
        <v>7942200</v>
      </c>
      <c r="AW544" s="25"/>
      <c r="AX544" s="25">
        <v>7942200</v>
      </c>
      <c r="AY544" s="25"/>
      <c r="AZ544" s="25">
        <v>15884400</v>
      </c>
      <c r="BA544" s="17"/>
      <c r="BB544" s="17"/>
      <c r="BC544" s="18">
        <f t="shared" si="259"/>
        <v>0</v>
      </c>
      <c r="BD544" s="18">
        <f t="shared" si="260"/>
        <v>31768800</v>
      </c>
      <c r="BE544" s="19">
        <f t="shared" si="261"/>
        <v>-31768800</v>
      </c>
      <c r="BF544" s="20">
        <f t="shared" si="262"/>
        <v>91335300</v>
      </c>
      <c r="BG544" s="20">
        <f t="shared" si="263"/>
        <v>59566500</v>
      </c>
    </row>
    <row r="545" spans="1:59" ht="14.25" customHeight="1">
      <c r="A545" s="147" t="s">
        <v>1311</v>
      </c>
      <c r="B545" s="147" t="s">
        <v>1057</v>
      </c>
      <c r="C545" s="151" t="s">
        <v>733</v>
      </c>
      <c r="D545" s="151" t="s">
        <v>62</v>
      </c>
      <c r="E545" s="151" t="s">
        <v>114</v>
      </c>
      <c r="F545" s="149" t="s">
        <v>1462</v>
      </c>
      <c r="G545" s="147" t="s">
        <v>733</v>
      </c>
      <c r="H545" s="147" t="s">
        <v>733</v>
      </c>
      <c r="I545" s="147" t="s">
        <v>733</v>
      </c>
      <c r="J545" s="164">
        <v>80111620</v>
      </c>
      <c r="K545" s="168" t="s">
        <v>1416</v>
      </c>
      <c r="L545" s="168" t="s">
        <v>83</v>
      </c>
      <c r="M545" s="168" t="s">
        <v>1463</v>
      </c>
      <c r="N545" s="168" t="s">
        <v>91</v>
      </c>
      <c r="O545" s="168" t="s">
        <v>91</v>
      </c>
      <c r="P545" s="168" t="s">
        <v>91</v>
      </c>
      <c r="Q545" s="147">
        <v>11.5</v>
      </c>
      <c r="R545" s="168" t="s">
        <v>72</v>
      </c>
      <c r="S545" s="168" t="s">
        <v>73</v>
      </c>
      <c r="T545" s="168" t="s">
        <v>74</v>
      </c>
      <c r="U545" s="148">
        <v>91335300</v>
      </c>
      <c r="V545" s="148">
        <v>91335300</v>
      </c>
      <c r="W545" s="168" t="s">
        <v>75</v>
      </c>
      <c r="X545" s="168" t="s">
        <v>67</v>
      </c>
      <c r="Y545" s="168" t="s">
        <v>1064</v>
      </c>
      <c r="Z545" s="168" t="s">
        <v>1065</v>
      </c>
      <c r="AA545" s="147">
        <v>6012220601</v>
      </c>
      <c r="AB545" s="205" t="s">
        <v>1066</v>
      </c>
      <c r="AC545" s="14"/>
      <c r="AD545" s="14"/>
      <c r="AE545" s="14"/>
      <c r="AF545" s="14"/>
      <c r="AG545" s="14"/>
      <c r="AH545" s="14"/>
      <c r="AI545" s="14"/>
      <c r="AJ545" s="14"/>
      <c r="AK545" s="14"/>
      <c r="AL545" s="14"/>
      <c r="AM545" s="14"/>
      <c r="AN545" s="14"/>
      <c r="AO545" s="14"/>
      <c r="AP545" s="14"/>
      <c r="AQ545" s="14"/>
      <c r="AR545" s="14"/>
      <c r="AS545" s="14"/>
      <c r="AT545" s="14"/>
      <c r="AU545" s="25"/>
      <c r="AV545" s="25">
        <v>7942200</v>
      </c>
      <c r="AW545" s="25"/>
      <c r="AX545" s="25">
        <v>7942200</v>
      </c>
      <c r="AY545" s="25"/>
      <c r="AZ545" s="25">
        <v>15884400</v>
      </c>
      <c r="BA545" s="17"/>
      <c r="BB545" s="17"/>
      <c r="BC545" s="18">
        <f t="shared" si="259"/>
        <v>0</v>
      </c>
      <c r="BD545" s="18">
        <f t="shared" si="260"/>
        <v>31768800</v>
      </c>
      <c r="BE545" s="19">
        <f t="shared" si="261"/>
        <v>-31768800</v>
      </c>
      <c r="BF545" s="20">
        <f t="shared" si="262"/>
        <v>91335300</v>
      </c>
      <c r="BG545" s="20">
        <f t="shared" si="263"/>
        <v>59566500</v>
      </c>
    </row>
    <row r="546" spans="1:59" ht="14.25" customHeight="1">
      <c r="A546" s="147" t="s">
        <v>1311</v>
      </c>
      <c r="B546" s="147" t="s">
        <v>1057</v>
      </c>
      <c r="C546" s="151" t="s">
        <v>733</v>
      </c>
      <c r="D546" s="151" t="s">
        <v>62</v>
      </c>
      <c r="E546" s="151" t="s">
        <v>114</v>
      </c>
      <c r="F546" s="149" t="s">
        <v>1464</v>
      </c>
      <c r="G546" s="147" t="s">
        <v>733</v>
      </c>
      <c r="H546" s="147" t="s">
        <v>733</v>
      </c>
      <c r="I546" s="147" t="s">
        <v>733</v>
      </c>
      <c r="J546" s="164">
        <v>80111620</v>
      </c>
      <c r="K546" s="168" t="s">
        <v>1416</v>
      </c>
      <c r="L546" s="168" t="s">
        <v>83</v>
      </c>
      <c r="M546" s="168" t="s">
        <v>1465</v>
      </c>
      <c r="N546" s="168" t="s">
        <v>85</v>
      </c>
      <c r="O546" s="168" t="s">
        <v>85</v>
      </c>
      <c r="P546" s="168" t="s">
        <v>85</v>
      </c>
      <c r="Q546" s="147">
        <v>10.5</v>
      </c>
      <c r="R546" s="168" t="s">
        <v>72</v>
      </c>
      <c r="S546" s="168" t="s">
        <v>73</v>
      </c>
      <c r="T546" s="168" t="s">
        <v>74</v>
      </c>
      <c r="U546" s="148">
        <v>65378250</v>
      </c>
      <c r="V546" s="148">
        <v>65378250</v>
      </c>
      <c r="W546" s="168" t="s">
        <v>75</v>
      </c>
      <c r="X546" s="168" t="s">
        <v>67</v>
      </c>
      <c r="Y546" s="168" t="s">
        <v>1064</v>
      </c>
      <c r="Z546" s="168" t="s">
        <v>1065</v>
      </c>
      <c r="AA546" s="147">
        <v>6012220601</v>
      </c>
      <c r="AB546" s="205" t="s">
        <v>1066</v>
      </c>
      <c r="AC546" s="14"/>
      <c r="AD546" s="14"/>
      <c r="AE546" s="14"/>
      <c r="AF546" s="14"/>
      <c r="AG546" s="14"/>
      <c r="AH546" s="14"/>
      <c r="AI546" s="14"/>
      <c r="AJ546" s="14"/>
      <c r="AK546" s="14"/>
      <c r="AL546" s="14"/>
      <c r="AM546" s="14"/>
      <c r="AN546" s="14"/>
      <c r="AO546" s="14"/>
      <c r="AP546" s="14"/>
      <c r="AQ546" s="14"/>
      <c r="AR546" s="14"/>
      <c r="AS546" s="14"/>
      <c r="AT546" s="14"/>
      <c r="AU546" s="25"/>
      <c r="AV546" s="25">
        <v>6226500</v>
      </c>
      <c r="AW546" s="25"/>
      <c r="AX546" s="25">
        <v>6226500</v>
      </c>
      <c r="AY546" s="25"/>
      <c r="AZ546" s="25">
        <v>12453000</v>
      </c>
      <c r="BA546" s="17"/>
      <c r="BB546" s="17"/>
      <c r="BC546" s="18">
        <f t="shared" si="259"/>
        <v>0</v>
      </c>
      <c r="BD546" s="18">
        <f t="shared" si="260"/>
        <v>24906000</v>
      </c>
      <c r="BE546" s="19">
        <f t="shared" si="261"/>
        <v>-24906000</v>
      </c>
      <c r="BF546" s="20">
        <f t="shared" si="262"/>
        <v>65378250</v>
      </c>
      <c r="BG546" s="20">
        <f t="shared" si="263"/>
        <v>40472250</v>
      </c>
    </row>
    <row r="547" spans="1:59" ht="14.25" customHeight="1">
      <c r="A547" s="147" t="s">
        <v>1311</v>
      </c>
      <c r="B547" s="147" t="s">
        <v>1057</v>
      </c>
      <c r="C547" s="151" t="s">
        <v>733</v>
      </c>
      <c r="D547" s="151" t="s">
        <v>62</v>
      </c>
      <c r="E547" s="151" t="s">
        <v>114</v>
      </c>
      <c r="F547" s="149" t="s">
        <v>1466</v>
      </c>
      <c r="G547" s="147" t="s">
        <v>733</v>
      </c>
      <c r="H547" s="147" t="s">
        <v>733</v>
      </c>
      <c r="I547" s="147" t="s">
        <v>733</v>
      </c>
      <c r="J547" s="164">
        <v>80111620</v>
      </c>
      <c r="K547" s="168" t="s">
        <v>1416</v>
      </c>
      <c r="L547" s="168" t="s">
        <v>83</v>
      </c>
      <c r="M547" s="168" t="s">
        <v>1467</v>
      </c>
      <c r="N547" s="168" t="s">
        <v>91</v>
      </c>
      <c r="O547" s="168" t="s">
        <v>91</v>
      </c>
      <c r="P547" s="168" t="s">
        <v>91</v>
      </c>
      <c r="Q547" s="147">
        <v>6</v>
      </c>
      <c r="R547" s="168" t="s">
        <v>72</v>
      </c>
      <c r="S547" s="168" t="s">
        <v>73</v>
      </c>
      <c r="T547" s="168" t="s">
        <v>74</v>
      </c>
      <c r="U547" s="148">
        <v>20748000</v>
      </c>
      <c r="V547" s="148">
        <v>20748000</v>
      </c>
      <c r="W547" s="168" t="s">
        <v>75</v>
      </c>
      <c r="X547" s="168" t="s">
        <v>67</v>
      </c>
      <c r="Y547" s="168" t="s">
        <v>1064</v>
      </c>
      <c r="Z547" s="168" t="s">
        <v>1065</v>
      </c>
      <c r="AA547" s="147">
        <v>6012220601</v>
      </c>
      <c r="AB547" s="205" t="s">
        <v>1066</v>
      </c>
      <c r="AC547" s="14"/>
      <c r="AD547" s="14"/>
      <c r="AE547" s="14"/>
      <c r="AF547" s="14"/>
      <c r="AG547" s="14"/>
      <c r="AH547" s="14"/>
      <c r="AI547" s="14"/>
      <c r="AJ547" s="14"/>
      <c r="AK547" s="14"/>
      <c r="AL547" s="14"/>
      <c r="AM547" s="14"/>
      <c r="AN547" s="14"/>
      <c r="AO547" s="14"/>
      <c r="AP547" s="14"/>
      <c r="AQ547" s="14"/>
      <c r="AR547" s="14"/>
      <c r="AS547" s="14"/>
      <c r="AT547" s="14"/>
      <c r="AU547" s="25"/>
      <c r="AV547" s="25"/>
      <c r="AW547" s="25"/>
      <c r="AX547" s="25"/>
      <c r="AY547" s="25"/>
      <c r="AZ547" s="25"/>
      <c r="BA547" s="17"/>
      <c r="BB547" s="17"/>
      <c r="BC547" s="18">
        <f t="shared" si="259"/>
        <v>0</v>
      </c>
      <c r="BD547" s="18">
        <f t="shared" si="260"/>
        <v>0</v>
      </c>
      <c r="BE547" s="19">
        <f t="shared" si="261"/>
        <v>0</v>
      </c>
      <c r="BF547" s="20">
        <f t="shared" si="262"/>
        <v>20748000</v>
      </c>
      <c r="BG547" s="20">
        <f t="shared" si="263"/>
        <v>20748000</v>
      </c>
    </row>
    <row r="548" spans="1:59" ht="14.25" customHeight="1">
      <c r="A548" s="147" t="s">
        <v>1311</v>
      </c>
      <c r="B548" s="147" t="s">
        <v>1057</v>
      </c>
      <c r="C548" s="151" t="s">
        <v>733</v>
      </c>
      <c r="D548" s="151" t="s">
        <v>62</v>
      </c>
      <c r="E548" s="151" t="s">
        <v>114</v>
      </c>
      <c r="F548" s="149" t="s">
        <v>1468</v>
      </c>
      <c r="G548" s="147" t="s">
        <v>733</v>
      </c>
      <c r="H548" s="147" t="s">
        <v>733</v>
      </c>
      <c r="I548" s="147" t="s">
        <v>733</v>
      </c>
      <c r="J548" s="164">
        <v>80111620</v>
      </c>
      <c r="K548" s="168" t="s">
        <v>1416</v>
      </c>
      <c r="L548" s="168" t="s">
        <v>83</v>
      </c>
      <c r="M548" s="168" t="s">
        <v>1469</v>
      </c>
      <c r="N548" s="168" t="s">
        <v>91</v>
      </c>
      <c r="O548" s="168" t="s">
        <v>91</v>
      </c>
      <c r="P548" s="168" t="s">
        <v>91</v>
      </c>
      <c r="Q548" s="147">
        <v>11</v>
      </c>
      <c r="R548" s="168" t="s">
        <v>72</v>
      </c>
      <c r="S548" s="168" t="s">
        <v>73</v>
      </c>
      <c r="T548" s="168" t="s">
        <v>74</v>
      </c>
      <c r="U548" s="148">
        <v>36139950</v>
      </c>
      <c r="V548" s="148">
        <v>36139950</v>
      </c>
      <c r="W548" s="168" t="s">
        <v>75</v>
      </c>
      <c r="X548" s="168" t="s">
        <v>67</v>
      </c>
      <c r="Y548" s="168" t="s">
        <v>1064</v>
      </c>
      <c r="Z548" s="168" t="s">
        <v>1065</v>
      </c>
      <c r="AA548" s="147">
        <v>6012220601</v>
      </c>
      <c r="AB548" s="205" t="s">
        <v>1066</v>
      </c>
      <c r="AC548" s="14"/>
      <c r="AD548" s="14"/>
      <c r="AE548" s="14"/>
      <c r="AF548" s="14"/>
      <c r="AG548" s="14"/>
      <c r="AH548" s="14"/>
      <c r="AI548" s="14"/>
      <c r="AJ548" s="14"/>
      <c r="AK548" s="14"/>
      <c r="AL548" s="14"/>
      <c r="AM548" s="14"/>
      <c r="AN548" s="14"/>
      <c r="AO548" s="14"/>
      <c r="AP548" s="14"/>
      <c r="AQ548" s="14"/>
      <c r="AR548" s="14"/>
      <c r="AS548" s="14"/>
      <c r="AT548" s="14"/>
      <c r="AU548" s="25"/>
      <c r="AV548" s="25">
        <v>3285450</v>
      </c>
      <c r="AW548" s="25"/>
      <c r="AX548" s="25">
        <v>3285450</v>
      </c>
      <c r="AY548" s="25"/>
      <c r="AZ548" s="25">
        <v>4380600</v>
      </c>
      <c r="BA548" s="17"/>
      <c r="BB548" s="17"/>
      <c r="BC548" s="18">
        <f t="shared" si="259"/>
        <v>0</v>
      </c>
      <c r="BD548" s="18">
        <f t="shared" si="260"/>
        <v>10951500</v>
      </c>
      <c r="BE548" s="19">
        <f t="shared" si="261"/>
        <v>-10951500</v>
      </c>
      <c r="BF548" s="20">
        <f t="shared" si="262"/>
        <v>36139950</v>
      </c>
      <c r="BG548" s="20">
        <f t="shared" si="263"/>
        <v>25188450</v>
      </c>
    </row>
    <row r="549" spans="1:59" ht="14.25" customHeight="1">
      <c r="A549" s="147" t="s">
        <v>1311</v>
      </c>
      <c r="B549" s="147" t="s">
        <v>1057</v>
      </c>
      <c r="C549" s="151" t="s">
        <v>733</v>
      </c>
      <c r="D549" s="151" t="s">
        <v>62</v>
      </c>
      <c r="E549" s="151" t="s">
        <v>114</v>
      </c>
      <c r="F549" s="149" t="s">
        <v>1470</v>
      </c>
      <c r="G549" s="147" t="s">
        <v>733</v>
      </c>
      <c r="H549" s="147" t="s">
        <v>733</v>
      </c>
      <c r="I549" s="147" t="s">
        <v>733</v>
      </c>
      <c r="J549" s="164">
        <v>80111620</v>
      </c>
      <c r="K549" s="168" t="s">
        <v>1416</v>
      </c>
      <c r="L549" s="168" t="s">
        <v>83</v>
      </c>
      <c r="M549" s="168" t="s">
        <v>1471</v>
      </c>
      <c r="N549" s="168" t="s">
        <v>91</v>
      </c>
      <c r="O549" s="168" t="s">
        <v>91</v>
      </c>
      <c r="P549" s="168" t="s">
        <v>85</v>
      </c>
      <c r="Q549" s="147">
        <v>11</v>
      </c>
      <c r="R549" s="168" t="s">
        <v>72</v>
      </c>
      <c r="S549" s="168" t="s">
        <v>73</v>
      </c>
      <c r="T549" s="168" t="s">
        <v>74</v>
      </c>
      <c r="U549" s="148">
        <v>36139950</v>
      </c>
      <c r="V549" s="148">
        <v>36139950</v>
      </c>
      <c r="W549" s="168" t="s">
        <v>75</v>
      </c>
      <c r="X549" s="168" t="s">
        <v>67</v>
      </c>
      <c r="Y549" s="168" t="s">
        <v>1064</v>
      </c>
      <c r="Z549" s="168" t="s">
        <v>1065</v>
      </c>
      <c r="AA549" s="147">
        <v>6012220601</v>
      </c>
      <c r="AB549" s="205" t="s">
        <v>1066</v>
      </c>
      <c r="AC549" s="14"/>
      <c r="AD549" s="14"/>
      <c r="AE549" s="14"/>
      <c r="AF549" s="14"/>
      <c r="AG549" s="14"/>
      <c r="AH549" s="14"/>
      <c r="AI549" s="14"/>
      <c r="AJ549" s="14"/>
      <c r="AK549" s="14"/>
      <c r="AL549" s="14"/>
      <c r="AM549" s="14"/>
      <c r="AN549" s="14"/>
      <c r="AO549" s="14"/>
      <c r="AP549" s="14"/>
      <c r="AQ549" s="14"/>
      <c r="AR549" s="14"/>
      <c r="AS549" s="14"/>
      <c r="AT549" s="14"/>
      <c r="AU549" s="25"/>
      <c r="AV549" s="25">
        <v>3285450</v>
      </c>
      <c r="AW549" s="25"/>
      <c r="AX549" s="25">
        <v>3285450</v>
      </c>
      <c r="AY549" s="25"/>
      <c r="AZ549" s="25">
        <v>6570900</v>
      </c>
      <c r="BA549" s="17"/>
      <c r="BB549" s="17"/>
      <c r="BC549" s="18">
        <f t="shared" si="259"/>
        <v>0</v>
      </c>
      <c r="BD549" s="18">
        <f t="shared" si="260"/>
        <v>13141800</v>
      </c>
      <c r="BE549" s="19">
        <f t="shared" si="261"/>
        <v>-13141800</v>
      </c>
      <c r="BF549" s="20">
        <f t="shared" si="262"/>
        <v>36139950</v>
      </c>
      <c r="BG549" s="20">
        <f t="shared" si="263"/>
        <v>22998150</v>
      </c>
    </row>
    <row r="550" spans="1:59" ht="14.25" customHeight="1">
      <c r="A550" s="147" t="s">
        <v>1311</v>
      </c>
      <c r="B550" s="147" t="s">
        <v>1057</v>
      </c>
      <c r="C550" s="151" t="s">
        <v>733</v>
      </c>
      <c r="D550" s="151" t="s">
        <v>62</v>
      </c>
      <c r="E550" s="151">
        <v>41</v>
      </c>
      <c r="F550" s="149" t="s">
        <v>1472</v>
      </c>
      <c r="G550" s="147" t="s">
        <v>733</v>
      </c>
      <c r="H550" s="147" t="s">
        <v>733</v>
      </c>
      <c r="I550" s="147" t="s">
        <v>733</v>
      </c>
      <c r="J550" s="164">
        <v>80111620</v>
      </c>
      <c r="K550" s="168" t="s">
        <v>1416</v>
      </c>
      <c r="L550" s="168" t="s">
        <v>83</v>
      </c>
      <c r="M550" s="168" t="s">
        <v>1473</v>
      </c>
      <c r="N550" s="168" t="s">
        <v>91</v>
      </c>
      <c r="O550" s="168" t="s">
        <v>91</v>
      </c>
      <c r="P550" s="168" t="s">
        <v>91</v>
      </c>
      <c r="Q550" s="147">
        <v>11</v>
      </c>
      <c r="R550" s="168" t="s">
        <v>72</v>
      </c>
      <c r="S550" s="168" t="s">
        <v>73</v>
      </c>
      <c r="T550" s="168" t="s">
        <v>74</v>
      </c>
      <c r="U550" s="148">
        <v>39691540</v>
      </c>
      <c r="V550" s="148">
        <v>39691540</v>
      </c>
      <c r="W550" s="168" t="s">
        <v>75</v>
      </c>
      <c r="X550" s="168" t="s">
        <v>67</v>
      </c>
      <c r="Y550" s="168" t="s">
        <v>1064</v>
      </c>
      <c r="Z550" s="168" t="s">
        <v>1065</v>
      </c>
      <c r="AA550" s="147">
        <v>6012220601</v>
      </c>
      <c r="AB550" s="205" t="s">
        <v>1066</v>
      </c>
      <c r="AC550" s="14"/>
      <c r="AD550" s="14"/>
      <c r="AE550" s="14"/>
      <c r="AF550" s="14"/>
      <c r="AG550" s="14"/>
      <c r="AH550" s="14"/>
      <c r="AI550" s="14"/>
      <c r="AJ550" s="14"/>
      <c r="AK550" s="14"/>
      <c r="AL550" s="14"/>
      <c r="AM550" s="14"/>
      <c r="AN550" s="14"/>
      <c r="AO550" s="14"/>
      <c r="AP550" s="14"/>
      <c r="AQ550" s="14"/>
      <c r="AR550" s="14"/>
      <c r="AS550" s="14"/>
      <c r="AT550" s="14"/>
      <c r="AU550" s="25"/>
      <c r="AV550" s="25">
        <v>3285450</v>
      </c>
      <c r="AW550" s="25"/>
      <c r="AX550" s="25">
        <v>3285450</v>
      </c>
      <c r="AY550" s="25"/>
      <c r="AZ550" s="25">
        <v>4928175</v>
      </c>
      <c r="BA550" s="17"/>
      <c r="BB550" s="17"/>
      <c r="BC550" s="18">
        <f t="shared" si="259"/>
        <v>0</v>
      </c>
      <c r="BD550" s="18">
        <f t="shared" si="260"/>
        <v>11499075</v>
      </c>
      <c r="BE550" s="19">
        <f t="shared" si="261"/>
        <v>-11499075</v>
      </c>
      <c r="BF550" s="20">
        <f t="shared" si="262"/>
        <v>39691540</v>
      </c>
      <c r="BG550" s="20">
        <f t="shared" si="263"/>
        <v>28192465</v>
      </c>
    </row>
    <row r="551" spans="1:59" ht="14.25" customHeight="1">
      <c r="A551" s="147" t="s">
        <v>1311</v>
      </c>
      <c r="B551" s="147" t="s">
        <v>1057</v>
      </c>
      <c r="C551" s="151" t="s">
        <v>733</v>
      </c>
      <c r="D551" s="151" t="s">
        <v>62</v>
      </c>
      <c r="E551" s="151" t="s">
        <v>114</v>
      </c>
      <c r="F551" s="149" t="s">
        <v>1474</v>
      </c>
      <c r="G551" s="147" t="s">
        <v>733</v>
      </c>
      <c r="H551" s="147" t="s">
        <v>733</v>
      </c>
      <c r="I551" s="147" t="s">
        <v>733</v>
      </c>
      <c r="J551" s="164">
        <v>80111620</v>
      </c>
      <c r="K551" s="168" t="s">
        <v>1416</v>
      </c>
      <c r="L551" s="168" t="s">
        <v>83</v>
      </c>
      <c r="M551" s="168" t="s">
        <v>1475</v>
      </c>
      <c r="N551" s="168" t="s">
        <v>91</v>
      </c>
      <c r="O551" s="168" t="s">
        <v>91</v>
      </c>
      <c r="P551" s="168" t="s">
        <v>85</v>
      </c>
      <c r="Q551" s="147">
        <v>11</v>
      </c>
      <c r="R551" s="168" t="s">
        <v>72</v>
      </c>
      <c r="S551" s="168" t="s">
        <v>73</v>
      </c>
      <c r="T551" s="168" t="s">
        <v>74</v>
      </c>
      <c r="U551" s="148">
        <v>36139950</v>
      </c>
      <c r="V551" s="148">
        <v>36139950</v>
      </c>
      <c r="W551" s="168" t="s">
        <v>75</v>
      </c>
      <c r="X551" s="168" t="s">
        <v>67</v>
      </c>
      <c r="Y551" s="168" t="s">
        <v>1064</v>
      </c>
      <c r="Z551" s="168" t="s">
        <v>1065</v>
      </c>
      <c r="AA551" s="147">
        <v>6012220601</v>
      </c>
      <c r="AB551" s="205" t="s">
        <v>1066</v>
      </c>
      <c r="AC551" s="14"/>
      <c r="AD551" s="14"/>
      <c r="AE551" s="14"/>
      <c r="AF551" s="14"/>
      <c r="AG551" s="14"/>
      <c r="AH551" s="14"/>
      <c r="AI551" s="14"/>
      <c r="AJ551" s="14"/>
      <c r="AK551" s="14"/>
      <c r="AL551" s="14"/>
      <c r="AM551" s="14"/>
      <c r="AN551" s="14"/>
      <c r="AO551" s="14"/>
      <c r="AP551" s="14"/>
      <c r="AQ551" s="14"/>
      <c r="AR551" s="14"/>
      <c r="AS551" s="14"/>
      <c r="AT551" s="14"/>
      <c r="AU551" s="25"/>
      <c r="AV551" s="25">
        <v>3285450</v>
      </c>
      <c r="AW551" s="25"/>
      <c r="AX551" s="25">
        <v>3285450</v>
      </c>
      <c r="AY551" s="25"/>
      <c r="AZ551" s="25">
        <v>6570900</v>
      </c>
      <c r="BA551" s="17"/>
      <c r="BB551" s="17"/>
      <c r="BC551" s="18">
        <f t="shared" si="259"/>
        <v>0</v>
      </c>
      <c r="BD551" s="18">
        <f t="shared" si="260"/>
        <v>13141800</v>
      </c>
      <c r="BE551" s="19">
        <f t="shared" si="261"/>
        <v>-13141800</v>
      </c>
      <c r="BF551" s="20">
        <f t="shared" si="262"/>
        <v>36139950</v>
      </c>
      <c r="BG551" s="20">
        <f t="shared" si="263"/>
        <v>22998150</v>
      </c>
    </row>
    <row r="552" spans="1:59" ht="14.25" customHeight="1">
      <c r="A552" s="147" t="s">
        <v>1311</v>
      </c>
      <c r="B552" s="147" t="s">
        <v>1057</v>
      </c>
      <c r="C552" s="151" t="s">
        <v>733</v>
      </c>
      <c r="D552" s="151" t="s">
        <v>62</v>
      </c>
      <c r="E552" s="151">
        <v>41</v>
      </c>
      <c r="F552" s="149" t="s">
        <v>1476</v>
      </c>
      <c r="G552" s="147" t="s">
        <v>733</v>
      </c>
      <c r="H552" s="147" t="s">
        <v>733</v>
      </c>
      <c r="I552" s="147" t="s">
        <v>733</v>
      </c>
      <c r="J552" s="164">
        <v>80111620</v>
      </c>
      <c r="K552" s="168" t="s">
        <v>1416</v>
      </c>
      <c r="L552" s="168" t="s">
        <v>83</v>
      </c>
      <c r="M552" s="168" t="s">
        <v>1477</v>
      </c>
      <c r="N552" s="168" t="s">
        <v>91</v>
      </c>
      <c r="O552" s="168" t="s">
        <v>91</v>
      </c>
      <c r="P552" s="168" t="s">
        <v>85</v>
      </c>
      <c r="Q552" s="147">
        <v>11</v>
      </c>
      <c r="R552" s="168" t="s">
        <v>72</v>
      </c>
      <c r="S552" s="168" t="s">
        <v>73</v>
      </c>
      <c r="T552" s="168" t="s">
        <v>74</v>
      </c>
      <c r="U552" s="148">
        <v>37939300</v>
      </c>
      <c r="V552" s="148">
        <v>37939300</v>
      </c>
      <c r="W552" s="168" t="s">
        <v>75</v>
      </c>
      <c r="X552" s="168" t="s">
        <v>67</v>
      </c>
      <c r="Y552" s="168" t="s">
        <v>1064</v>
      </c>
      <c r="Z552" s="168" t="s">
        <v>1065</v>
      </c>
      <c r="AA552" s="147">
        <v>6012220601</v>
      </c>
      <c r="AB552" s="205" t="s">
        <v>1066</v>
      </c>
      <c r="AC552" s="14"/>
      <c r="AD552" s="14"/>
      <c r="AE552" s="14"/>
      <c r="AF552" s="14"/>
      <c r="AG552" s="14"/>
      <c r="AH552" s="14"/>
      <c r="AI552" s="14"/>
      <c r="AJ552" s="14"/>
      <c r="AK552" s="14"/>
      <c r="AL552" s="14"/>
      <c r="AM552" s="14"/>
      <c r="AN552" s="14"/>
      <c r="AO552" s="14"/>
      <c r="AP552" s="14"/>
      <c r="AQ552" s="14"/>
      <c r="AR552" s="14"/>
      <c r="AS552" s="14"/>
      <c r="AT552" s="14"/>
      <c r="AU552" s="25"/>
      <c r="AV552" s="25">
        <v>3285450</v>
      </c>
      <c r="AW552" s="25"/>
      <c r="AX552" s="25">
        <v>3285450</v>
      </c>
      <c r="AY552" s="25"/>
      <c r="AZ552" s="25">
        <v>6570900</v>
      </c>
      <c r="BA552" s="17"/>
      <c r="BB552" s="17"/>
      <c r="BC552" s="18">
        <f t="shared" si="259"/>
        <v>0</v>
      </c>
      <c r="BD552" s="18">
        <f t="shared" si="260"/>
        <v>13141800</v>
      </c>
      <c r="BE552" s="19">
        <f t="shared" si="261"/>
        <v>-13141800</v>
      </c>
      <c r="BF552" s="20">
        <f t="shared" si="262"/>
        <v>37939300</v>
      </c>
      <c r="BG552" s="20">
        <f t="shared" si="263"/>
        <v>24797500</v>
      </c>
    </row>
    <row r="553" spans="1:59" ht="14.25" customHeight="1">
      <c r="A553" s="147" t="s">
        <v>1311</v>
      </c>
      <c r="B553" s="147" t="s">
        <v>1057</v>
      </c>
      <c r="C553" s="151" t="s">
        <v>733</v>
      </c>
      <c r="D553" s="151" t="s">
        <v>62</v>
      </c>
      <c r="E553" s="151" t="s">
        <v>114</v>
      </c>
      <c r="F553" s="149" t="s">
        <v>1478</v>
      </c>
      <c r="G553" s="147" t="s">
        <v>733</v>
      </c>
      <c r="H553" s="147" t="s">
        <v>733</v>
      </c>
      <c r="I553" s="147" t="s">
        <v>733</v>
      </c>
      <c r="J553" s="164">
        <v>80111620</v>
      </c>
      <c r="K553" s="168" t="s">
        <v>1416</v>
      </c>
      <c r="L553" s="168" t="s">
        <v>83</v>
      </c>
      <c r="M553" s="168" t="s">
        <v>1479</v>
      </c>
      <c r="N553" s="168" t="s">
        <v>91</v>
      </c>
      <c r="O553" s="168" t="s">
        <v>91</v>
      </c>
      <c r="P553" s="168" t="s">
        <v>85</v>
      </c>
      <c r="Q553" s="147">
        <v>11</v>
      </c>
      <c r="R553" s="168" t="s">
        <v>72</v>
      </c>
      <c r="S553" s="168" t="s">
        <v>73</v>
      </c>
      <c r="T553" s="168" t="s">
        <v>74</v>
      </c>
      <c r="U553" s="148">
        <v>36139950</v>
      </c>
      <c r="V553" s="148">
        <v>36139950</v>
      </c>
      <c r="W553" s="168" t="s">
        <v>75</v>
      </c>
      <c r="X553" s="168" t="s">
        <v>67</v>
      </c>
      <c r="Y553" s="168" t="s">
        <v>1064</v>
      </c>
      <c r="Z553" s="168" t="s">
        <v>1065</v>
      </c>
      <c r="AA553" s="147">
        <v>6012220601</v>
      </c>
      <c r="AB553" s="205" t="s">
        <v>1066</v>
      </c>
      <c r="AC553" s="14"/>
      <c r="AD553" s="14"/>
      <c r="AE553" s="14"/>
      <c r="AF553" s="14"/>
      <c r="AG553" s="14"/>
      <c r="AH553" s="14"/>
      <c r="AI553" s="14"/>
      <c r="AJ553" s="14"/>
      <c r="AK553" s="14"/>
      <c r="AL553" s="14"/>
      <c r="AM553" s="14"/>
      <c r="AN553" s="14"/>
      <c r="AO553" s="14"/>
      <c r="AP553" s="14"/>
      <c r="AQ553" s="14"/>
      <c r="AR553" s="14"/>
      <c r="AS553" s="14"/>
      <c r="AT553" s="14"/>
      <c r="AU553" s="25"/>
      <c r="AV553" s="25">
        <v>3285450</v>
      </c>
      <c r="AW553" s="25"/>
      <c r="AX553" s="25">
        <v>3285450</v>
      </c>
      <c r="AY553" s="25"/>
      <c r="AZ553" s="25">
        <v>6570900</v>
      </c>
      <c r="BA553" s="17"/>
      <c r="BB553" s="17"/>
      <c r="BC553" s="18">
        <f t="shared" si="259"/>
        <v>0</v>
      </c>
      <c r="BD553" s="18">
        <f t="shared" si="260"/>
        <v>13141800</v>
      </c>
      <c r="BE553" s="19">
        <f t="shared" si="261"/>
        <v>-13141800</v>
      </c>
      <c r="BF553" s="20">
        <f t="shared" si="262"/>
        <v>36139950</v>
      </c>
      <c r="BG553" s="20">
        <f t="shared" si="263"/>
        <v>22998150</v>
      </c>
    </row>
    <row r="554" spans="1:59" ht="14.25" customHeight="1">
      <c r="A554" s="147" t="s">
        <v>1311</v>
      </c>
      <c r="B554" s="147" t="s">
        <v>1057</v>
      </c>
      <c r="C554" s="151" t="s">
        <v>733</v>
      </c>
      <c r="D554" s="151" t="s">
        <v>62</v>
      </c>
      <c r="E554" s="151">
        <v>41</v>
      </c>
      <c r="F554" s="149" t="s">
        <v>1480</v>
      </c>
      <c r="G554" s="147" t="s">
        <v>733</v>
      </c>
      <c r="H554" s="147" t="s">
        <v>733</v>
      </c>
      <c r="I554" s="147" t="s">
        <v>733</v>
      </c>
      <c r="J554" s="164">
        <v>80111620</v>
      </c>
      <c r="K554" s="168" t="s">
        <v>1416</v>
      </c>
      <c r="L554" s="168" t="s">
        <v>83</v>
      </c>
      <c r="M554" s="168" t="s">
        <v>1481</v>
      </c>
      <c r="N554" s="168" t="s">
        <v>91</v>
      </c>
      <c r="O554" s="168" t="s">
        <v>91</v>
      </c>
      <c r="P554" s="168" t="s">
        <v>85</v>
      </c>
      <c r="Q554" s="147">
        <v>11</v>
      </c>
      <c r="R554" s="168" t="s">
        <v>72</v>
      </c>
      <c r="S554" s="168" t="s">
        <v>73</v>
      </c>
      <c r="T554" s="168" t="s">
        <v>74</v>
      </c>
      <c r="U554" s="148">
        <v>37939300</v>
      </c>
      <c r="V554" s="148">
        <v>37939300</v>
      </c>
      <c r="W554" s="168" t="s">
        <v>75</v>
      </c>
      <c r="X554" s="168" t="s">
        <v>67</v>
      </c>
      <c r="Y554" s="168" t="s">
        <v>1064</v>
      </c>
      <c r="Z554" s="168" t="s">
        <v>1065</v>
      </c>
      <c r="AA554" s="147">
        <v>6012220601</v>
      </c>
      <c r="AB554" s="205" t="s">
        <v>1066</v>
      </c>
      <c r="AC554" s="14"/>
      <c r="AD554" s="14"/>
      <c r="AE554" s="14"/>
      <c r="AF554" s="14"/>
      <c r="AG554" s="14"/>
      <c r="AH554" s="14"/>
      <c r="AI554" s="14"/>
      <c r="AJ554" s="14"/>
      <c r="AK554" s="14"/>
      <c r="AL554" s="14"/>
      <c r="AM554" s="14"/>
      <c r="AN554" s="14"/>
      <c r="AO554" s="14"/>
      <c r="AP554" s="14"/>
      <c r="AQ554" s="14"/>
      <c r="AR554" s="14"/>
      <c r="AS554" s="14"/>
      <c r="AT554" s="14"/>
      <c r="AU554" s="25"/>
      <c r="AV554" s="25">
        <v>3285450</v>
      </c>
      <c r="AW554" s="25"/>
      <c r="AX554" s="25">
        <v>3285450</v>
      </c>
      <c r="AY554" s="25"/>
      <c r="AZ554" s="25">
        <v>6570900</v>
      </c>
      <c r="BA554" s="17"/>
      <c r="BB554" s="17"/>
      <c r="BC554" s="18">
        <f t="shared" si="259"/>
        <v>0</v>
      </c>
      <c r="BD554" s="18">
        <f t="shared" si="260"/>
        <v>13141800</v>
      </c>
      <c r="BE554" s="19">
        <f t="shared" si="261"/>
        <v>-13141800</v>
      </c>
      <c r="BF554" s="20">
        <f t="shared" si="262"/>
        <v>37939300</v>
      </c>
      <c r="BG554" s="20">
        <f t="shared" si="263"/>
        <v>24797500</v>
      </c>
    </row>
    <row r="555" spans="1:59" ht="14.25" customHeight="1">
      <c r="A555" s="147" t="s">
        <v>1311</v>
      </c>
      <c r="B555" s="147" t="s">
        <v>1057</v>
      </c>
      <c r="C555" s="151" t="s">
        <v>733</v>
      </c>
      <c r="D555" s="151" t="s">
        <v>62</v>
      </c>
      <c r="E555" s="151" t="s">
        <v>114</v>
      </c>
      <c r="F555" s="149" t="s">
        <v>1482</v>
      </c>
      <c r="G555" s="147" t="s">
        <v>733</v>
      </c>
      <c r="H555" s="147" t="s">
        <v>733</v>
      </c>
      <c r="I555" s="147" t="s">
        <v>733</v>
      </c>
      <c r="J555" s="164">
        <v>80111620</v>
      </c>
      <c r="K555" s="168" t="s">
        <v>1416</v>
      </c>
      <c r="L555" s="168" t="s">
        <v>83</v>
      </c>
      <c r="M555" s="168" t="s">
        <v>1483</v>
      </c>
      <c r="N555" s="168" t="s">
        <v>91</v>
      </c>
      <c r="O555" s="168" t="s">
        <v>91</v>
      </c>
      <c r="P555" s="168" t="s">
        <v>85</v>
      </c>
      <c r="Q555" s="147">
        <v>11</v>
      </c>
      <c r="R555" s="168" t="s">
        <v>72</v>
      </c>
      <c r="S555" s="168" t="s">
        <v>73</v>
      </c>
      <c r="T555" s="168" t="s">
        <v>74</v>
      </c>
      <c r="U555" s="148">
        <v>39939900</v>
      </c>
      <c r="V555" s="148">
        <v>39939900</v>
      </c>
      <c r="W555" s="168" t="s">
        <v>75</v>
      </c>
      <c r="X555" s="168" t="s">
        <v>67</v>
      </c>
      <c r="Y555" s="168" t="s">
        <v>1064</v>
      </c>
      <c r="Z555" s="168" t="s">
        <v>1065</v>
      </c>
      <c r="AA555" s="147">
        <v>6012220601</v>
      </c>
      <c r="AB555" s="205" t="s">
        <v>1066</v>
      </c>
      <c r="AC555" s="14"/>
      <c r="AD555" s="14"/>
      <c r="AE555" s="14"/>
      <c r="AF555" s="14"/>
      <c r="AG555" s="14"/>
      <c r="AH555" s="14"/>
      <c r="AI555" s="14"/>
      <c r="AJ555" s="14"/>
      <c r="AK555" s="14"/>
      <c r="AL555" s="14"/>
      <c r="AM555" s="14"/>
      <c r="AN555" s="14"/>
      <c r="AO555" s="14"/>
      <c r="AP555" s="14"/>
      <c r="AQ555" s="14"/>
      <c r="AR555" s="14"/>
      <c r="AS555" s="14"/>
      <c r="AT555" s="14"/>
      <c r="AU555" s="25"/>
      <c r="AV555" s="25">
        <v>3630900</v>
      </c>
      <c r="AW555" s="25"/>
      <c r="AX555" s="25">
        <v>3630900</v>
      </c>
      <c r="AY555" s="25"/>
      <c r="AZ555" s="25">
        <v>7261800</v>
      </c>
      <c r="BA555" s="17"/>
      <c r="BB555" s="17"/>
      <c r="BC555" s="18">
        <f t="shared" si="259"/>
        <v>0</v>
      </c>
      <c r="BD555" s="18">
        <f t="shared" si="260"/>
        <v>14523600</v>
      </c>
      <c r="BE555" s="19">
        <f t="shared" si="261"/>
        <v>-14523600</v>
      </c>
      <c r="BF555" s="20">
        <f t="shared" si="262"/>
        <v>39939900</v>
      </c>
      <c r="BG555" s="20">
        <f t="shared" si="263"/>
        <v>25416300</v>
      </c>
    </row>
    <row r="556" spans="1:59" ht="14.25" customHeight="1">
      <c r="A556" s="147" t="s">
        <v>1311</v>
      </c>
      <c r="B556" s="147" t="s">
        <v>1057</v>
      </c>
      <c r="C556" s="151" t="s">
        <v>733</v>
      </c>
      <c r="D556" s="151" t="s">
        <v>62</v>
      </c>
      <c r="E556" s="151" t="s">
        <v>114</v>
      </c>
      <c r="F556" s="149" t="s">
        <v>1484</v>
      </c>
      <c r="G556" s="147" t="s">
        <v>733</v>
      </c>
      <c r="H556" s="147" t="s">
        <v>733</v>
      </c>
      <c r="I556" s="147" t="s">
        <v>733</v>
      </c>
      <c r="J556" s="164">
        <v>80111620</v>
      </c>
      <c r="K556" s="168" t="s">
        <v>1416</v>
      </c>
      <c r="L556" s="168" t="s">
        <v>83</v>
      </c>
      <c r="M556" s="168" t="s">
        <v>1485</v>
      </c>
      <c r="N556" s="168" t="s">
        <v>91</v>
      </c>
      <c r="O556" s="168" t="s">
        <v>91</v>
      </c>
      <c r="P556" s="168" t="s">
        <v>85</v>
      </c>
      <c r="Q556" s="147">
        <v>11</v>
      </c>
      <c r="R556" s="168" t="s">
        <v>72</v>
      </c>
      <c r="S556" s="168" t="s">
        <v>73</v>
      </c>
      <c r="T556" s="168" t="s">
        <v>74</v>
      </c>
      <c r="U556" s="148">
        <v>39939900</v>
      </c>
      <c r="V556" s="148">
        <v>39939900</v>
      </c>
      <c r="W556" s="168" t="s">
        <v>75</v>
      </c>
      <c r="X556" s="168" t="s">
        <v>67</v>
      </c>
      <c r="Y556" s="168" t="s">
        <v>1064</v>
      </c>
      <c r="Z556" s="168" t="s">
        <v>1065</v>
      </c>
      <c r="AA556" s="147">
        <v>6012220601</v>
      </c>
      <c r="AB556" s="205" t="s">
        <v>1066</v>
      </c>
      <c r="AC556" s="14"/>
      <c r="AD556" s="14"/>
      <c r="AE556" s="14"/>
      <c r="AF556" s="14"/>
      <c r="AG556" s="14"/>
      <c r="AH556" s="14"/>
      <c r="AI556" s="14"/>
      <c r="AJ556" s="14"/>
      <c r="AK556" s="14"/>
      <c r="AL556" s="14"/>
      <c r="AM556" s="14"/>
      <c r="AN556" s="14"/>
      <c r="AO556" s="14"/>
      <c r="AP556" s="14"/>
      <c r="AQ556" s="14"/>
      <c r="AR556" s="14"/>
      <c r="AS556" s="14"/>
      <c r="AT556" s="14"/>
      <c r="AU556" s="25"/>
      <c r="AV556" s="25">
        <v>3630900</v>
      </c>
      <c r="AW556" s="25"/>
      <c r="AX556" s="25">
        <v>3630900</v>
      </c>
      <c r="AY556" s="25"/>
      <c r="AZ556" s="25">
        <v>7261800</v>
      </c>
      <c r="BA556" s="17"/>
      <c r="BB556" s="17"/>
      <c r="BC556" s="18">
        <f t="shared" si="259"/>
        <v>0</v>
      </c>
      <c r="BD556" s="18">
        <f t="shared" si="260"/>
        <v>14523600</v>
      </c>
      <c r="BE556" s="19">
        <f t="shared" si="261"/>
        <v>-14523600</v>
      </c>
      <c r="BF556" s="20">
        <f t="shared" si="262"/>
        <v>39939900</v>
      </c>
      <c r="BG556" s="20">
        <f t="shared" si="263"/>
        <v>25416300</v>
      </c>
    </row>
    <row r="557" spans="1:59" ht="14.25" customHeight="1">
      <c r="A557" s="147" t="s">
        <v>1311</v>
      </c>
      <c r="B557" s="147" t="s">
        <v>1057</v>
      </c>
      <c r="C557" s="151" t="s">
        <v>733</v>
      </c>
      <c r="D557" s="151" t="s">
        <v>62</v>
      </c>
      <c r="E557" s="151">
        <v>26</v>
      </c>
      <c r="F557" s="149" t="s">
        <v>1486</v>
      </c>
      <c r="G557" s="147" t="s">
        <v>733</v>
      </c>
      <c r="H557" s="147" t="s">
        <v>733</v>
      </c>
      <c r="I557" s="147" t="s">
        <v>733</v>
      </c>
      <c r="J557" s="164">
        <v>80111620</v>
      </c>
      <c r="K557" s="168" t="s">
        <v>1416</v>
      </c>
      <c r="L557" s="168" t="s">
        <v>83</v>
      </c>
      <c r="M557" s="168" t="s">
        <v>1487</v>
      </c>
      <c r="N557" s="168" t="s">
        <v>127</v>
      </c>
      <c r="O557" s="168" t="s">
        <v>127</v>
      </c>
      <c r="P557" s="168" t="s">
        <v>127</v>
      </c>
      <c r="Q557" s="147">
        <v>7</v>
      </c>
      <c r="R557" s="168" t="s">
        <v>72</v>
      </c>
      <c r="S557" s="168" t="s">
        <v>73</v>
      </c>
      <c r="T557" s="168" t="s">
        <v>74</v>
      </c>
      <c r="U557" s="148">
        <v>23579430</v>
      </c>
      <c r="V557" s="148">
        <v>23579430</v>
      </c>
      <c r="W557" s="168" t="s">
        <v>75</v>
      </c>
      <c r="X557" s="168" t="s">
        <v>67</v>
      </c>
      <c r="Y557" s="168" t="s">
        <v>1064</v>
      </c>
      <c r="Z557" s="168" t="s">
        <v>1065</v>
      </c>
      <c r="AA557" s="147">
        <v>6012220601</v>
      </c>
      <c r="AB557" s="205" t="s">
        <v>1066</v>
      </c>
      <c r="AC557" s="14"/>
      <c r="AD557" s="14"/>
      <c r="AE557" s="14"/>
      <c r="AF557" s="14"/>
      <c r="AG557" s="14"/>
      <c r="AH557" s="14"/>
      <c r="AI557" s="14"/>
      <c r="AJ557" s="14"/>
      <c r="AK557" s="14"/>
      <c r="AL557" s="14"/>
      <c r="AM557" s="14"/>
      <c r="AN557" s="14"/>
      <c r="AO557" s="14"/>
      <c r="AP557" s="14"/>
      <c r="AQ557" s="14"/>
      <c r="AR557" s="14"/>
      <c r="AS557" s="14"/>
      <c r="AT557" s="14"/>
      <c r="AU557" s="25"/>
      <c r="AV557" s="25">
        <v>3285450</v>
      </c>
      <c r="AW557" s="25"/>
      <c r="AX557" s="25">
        <v>3285450</v>
      </c>
      <c r="AY557" s="25"/>
      <c r="AZ557" s="25">
        <v>6823635</v>
      </c>
      <c r="BA557" s="17"/>
      <c r="BB557" s="17"/>
      <c r="BC557" s="18">
        <f t="shared" si="259"/>
        <v>0</v>
      </c>
      <c r="BD557" s="18">
        <f t="shared" si="260"/>
        <v>13394535</v>
      </c>
      <c r="BE557" s="19">
        <f t="shared" si="261"/>
        <v>-13394535</v>
      </c>
      <c r="BF557" s="20">
        <f t="shared" si="262"/>
        <v>23579430</v>
      </c>
      <c r="BG557" s="20">
        <f t="shared" si="263"/>
        <v>10184895</v>
      </c>
    </row>
    <row r="558" spans="1:59" ht="14.25" customHeight="1">
      <c r="A558" s="147" t="s">
        <v>1311</v>
      </c>
      <c r="B558" s="147" t="s">
        <v>1057</v>
      </c>
      <c r="C558" s="151" t="s">
        <v>733</v>
      </c>
      <c r="D558" s="151" t="s">
        <v>62</v>
      </c>
      <c r="E558" s="151">
        <v>26</v>
      </c>
      <c r="F558" s="149" t="s">
        <v>1488</v>
      </c>
      <c r="G558" s="147" t="s">
        <v>733</v>
      </c>
      <c r="H558" s="147" t="s">
        <v>733</v>
      </c>
      <c r="I558" s="147" t="s">
        <v>733</v>
      </c>
      <c r="J558" s="164">
        <v>80111620</v>
      </c>
      <c r="K558" s="168" t="s">
        <v>1416</v>
      </c>
      <c r="L558" s="168" t="s">
        <v>83</v>
      </c>
      <c r="M558" s="168" t="s">
        <v>1489</v>
      </c>
      <c r="N558" s="168" t="s">
        <v>127</v>
      </c>
      <c r="O558" s="168" t="s">
        <v>127</v>
      </c>
      <c r="P558" s="168" t="s">
        <v>127</v>
      </c>
      <c r="Q558" s="147">
        <v>7</v>
      </c>
      <c r="R558" s="168" t="s">
        <v>72</v>
      </c>
      <c r="S558" s="168" t="s">
        <v>73</v>
      </c>
      <c r="T558" s="168" t="s">
        <v>74</v>
      </c>
      <c r="U558" s="148">
        <v>23326695</v>
      </c>
      <c r="V558" s="148">
        <v>23326695</v>
      </c>
      <c r="W558" s="168" t="s">
        <v>75</v>
      </c>
      <c r="X558" s="168" t="s">
        <v>67</v>
      </c>
      <c r="Y558" s="168" t="s">
        <v>1064</v>
      </c>
      <c r="Z558" s="168" t="s">
        <v>1065</v>
      </c>
      <c r="AA558" s="147">
        <v>6012220601</v>
      </c>
      <c r="AB558" s="205" t="s">
        <v>1066</v>
      </c>
      <c r="AC558" s="14"/>
      <c r="AD558" s="14"/>
      <c r="AE558" s="14"/>
      <c r="AF558" s="14"/>
      <c r="AG558" s="14"/>
      <c r="AH558" s="14"/>
      <c r="AI558" s="14"/>
      <c r="AJ558" s="14"/>
      <c r="AK558" s="14"/>
      <c r="AL558" s="14"/>
      <c r="AM558" s="14"/>
      <c r="AN558" s="14"/>
      <c r="AO558" s="14"/>
      <c r="AP558" s="14"/>
      <c r="AQ558" s="14"/>
      <c r="AR558" s="14"/>
      <c r="AS558" s="14"/>
      <c r="AT558" s="14"/>
      <c r="AU558" s="25"/>
      <c r="AV558" s="25">
        <v>3285450</v>
      </c>
      <c r="AW558" s="25"/>
      <c r="AX558" s="25">
        <v>3285450</v>
      </c>
      <c r="AY558" s="25"/>
      <c r="AZ558" s="25">
        <v>6570900</v>
      </c>
      <c r="BA558" s="17"/>
      <c r="BB558" s="17"/>
      <c r="BC558" s="18">
        <f t="shared" si="259"/>
        <v>0</v>
      </c>
      <c r="BD558" s="18">
        <f t="shared" si="260"/>
        <v>13141800</v>
      </c>
      <c r="BE558" s="19">
        <f t="shared" si="261"/>
        <v>-13141800</v>
      </c>
      <c r="BF558" s="20">
        <f t="shared" si="262"/>
        <v>23326695</v>
      </c>
      <c r="BG558" s="20">
        <f t="shared" si="263"/>
        <v>10184895</v>
      </c>
    </row>
    <row r="559" spans="1:59" ht="14.25" customHeight="1">
      <c r="A559" s="147" t="s">
        <v>1311</v>
      </c>
      <c r="B559" s="147" t="s">
        <v>1057</v>
      </c>
      <c r="C559" s="151" t="s">
        <v>733</v>
      </c>
      <c r="D559" s="151" t="s">
        <v>62</v>
      </c>
      <c r="E559" s="151">
        <v>26</v>
      </c>
      <c r="F559" s="149" t="s">
        <v>1490</v>
      </c>
      <c r="G559" s="147" t="s">
        <v>733</v>
      </c>
      <c r="H559" s="147" t="s">
        <v>733</v>
      </c>
      <c r="I559" s="147" t="s">
        <v>733</v>
      </c>
      <c r="J559" s="164">
        <v>80111620</v>
      </c>
      <c r="K559" s="168" t="s">
        <v>1416</v>
      </c>
      <c r="L559" s="168" t="s">
        <v>83</v>
      </c>
      <c r="M559" s="168" t="s">
        <v>1491</v>
      </c>
      <c r="N559" s="168" t="s">
        <v>127</v>
      </c>
      <c r="O559" s="168" t="s">
        <v>127</v>
      </c>
      <c r="P559" s="168" t="s">
        <v>127</v>
      </c>
      <c r="Q559" s="147">
        <v>7</v>
      </c>
      <c r="R559" s="168" t="s">
        <v>72</v>
      </c>
      <c r="S559" s="168" t="s">
        <v>73</v>
      </c>
      <c r="T559" s="168" t="s">
        <v>74</v>
      </c>
      <c r="U559" s="148">
        <v>23326695</v>
      </c>
      <c r="V559" s="148">
        <v>23326695</v>
      </c>
      <c r="W559" s="168" t="s">
        <v>75</v>
      </c>
      <c r="X559" s="168" t="s">
        <v>67</v>
      </c>
      <c r="Y559" s="168" t="s">
        <v>1064</v>
      </c>
      <c r="Z559" s="168" t="s">
        <v>1065</v>
      </c>
      <c r="AA559" s="147">
        <v>6012220601</v>
      </c>
      <c r="AB559" s="205" t="s">
        <v>1066</v>
      </c>
      <c r="AC559" s="14"/>
      <c r="AD559" s="14"/>
      <c r="AE559" s="14"/>
      <c r="AF559" s="14"/>
      <c r="AG559" s="14"/>
      <c r="AH559" s="14"/>
      <c r="AI559" s="14"/>
      <c r="AJ559" s="14"/>
      <c r="AK559" s="14"/>
      <c r="AL559" s="14"/>
      <c r="AM559" s="14"/>
      <c r="AN559" s="14"/>
      <c r="AO559" s="14"/>
      <c r="AP559" s="14"/>
      <c r="AQ559" s="14"/>
      <c r="AR559" s="14"/>
      <c r="AS559" s="14"/>
      <c r="AT559" s="14"/>
      <c r="AU559" s="25"/>
      <c r="AV559" s="25">
        <v>3285450</v>
      </c>
      <c r="AW559" s="25"/>
      <c r="AX559" s="25">
        <v>3285450</v>
      </c>
      <c r="AY559" s="25"/>
      <c r="AZ559" s="25">
        <v>6570900</v>
      </c>
      <c r="BA559" s="17"/>
      <c r="BB559" s="17"/>
      <c r="BC559" s="18">
        <f t="shared" si="259"/>
        <v>0</v>
      </c>
      <c r="BD559" s="18">
        <f t="shared" si="260"/>
        <v>13141800</v>
      </c>
      <c r="BE559" s="19">
        <f t="shared" si="261"/>
        <v>-13141800</v>
      </c>
      <c r="BF559" s="20">
        <f t="shared" si="262"/>
        <v>23326695</v>
      </c>
      <c r="BG559" s="20">
        <f t="shared" si="263"/>
        <v>10184895</v>
      </c>
    </row>
    <row r="560" spans="1:59" ht="14.25" customHeight="1">
      <c r="A560" s="147" t="s">
        <v>1311</v>
      </c>
      <c r="B560" s="147" t="s">
        <v>1057</v>
      </c>
      <c r="C560" s="151" t="s">
        <v>733</v>
      </c>
      <c r="D560" s="151" t="s">
        <v>62</v>
      </c>
      <c r="E560" s="151">
        <v>42</v>
      </c>
      <c r="F560" s="149" t="s">
        <v>1492</v>
      </c>
      <c r="G560" s="147" t="s">
        <v>733</v>
      </c>
      <c r="H560" s="147" t="s">
        <v>733</v>
      </c>
      <c r="I560" s="147" t="s">
        <v>733</v>
      </c>
      <c r="J560" s="164">
        <v>80111620</v>
      </c>
      <c r="K560" s="168" t="s">
        <v>1416</v>
      </c>
      <c r="L560" s="168" t="s">
        <v>83</v>
      </c>
      <c r="M560" s="168" t="s">
        <v>1493</v>
      </c>
      <c r="N560" s="168" t="s">
        <v>91</v>
      </c>
      <c r="O560" s="168" t="s">
        <v>91</v>
      </c>
      <c r="P560" s="168" t="s">
        <v>85</v>
      </c>
      <c r="Q560" s="147">
        <v>11</v>
      </c>
      <c r="R560" s="168" t="s">
        <v>72</v>
      </c>
      <c r="S560" s="168" t="s">
        <v>73</v>
      </c>
      <c r="T560" s="168" t="s">
        <v>74</v>
      </c>
      <c r="U560" s="148">
        <v>49137970</v>
      </c>
      <c r="V560" s="148">
        <v>49137970</v>
      </c>
      <c r="W560" s="168" t="s">
        <v>75</v>
      </c>
      <c r="X560" s="168" t="s">
        <v>67</v>
      </c>
      <c r="Y560" s="168" t="s">
        <v>1064</v>
      </c>
      <c r="Z560" s="168" t="s">
        <v>1065</v>
      </c>
      <c r="AA560" s="147">
        <v>6012220601</v>
      </c>
      <c r="AB560" s="205" t="s">
        <v>1066</v>
      </c>
      <c r="AC560" s="14">
        <v>48117300</v>
      </c>
      <c r="AD560" s="14"/>
      <c r="AE560" s="14"/>
      <c r="AF560" s="14"/>
      <c r="AG560" s="14"/>
      <c r="AH560" s="14"/>
      <c r="AI560" s="14"/>
      <c r="AJ560" s="14"/>
      <c r="AK560" s="14"/>
      <c r="AL560" s="14"/>
      <c r="AM560" s="14"/>
      <c r="AN560" s="14"/>
      <c r="AO560" s="14"/>
      <c r="AP560" s="14"/>
      <c r="AQ560" s="14"/>
      <c r="AR560" s="14"/>
      <c r="AS560" s="14"/>
      <c r="AT560" s="14"/>
      <c r="AU560" s="25"/>
      <c r="AV560" s="25">
        <v>4374300</v>
      </c>
      <c r="AW560" s="25"/>
      <c r="AX560" s="25">
        <v>4374300</v>
      </c>
      <c r="AY560" s="25"/>
      <c r="AZ560" s="25">
        <v>8748600</v>
      </c>
      <c r="BA560" s="17"/>
      <c r="BB560" s="17"/>
      <c r="BC560" s="18">
        <f t="shared" si="259"/>
        <v>48117300</v>
      </c>
      <c r="BD560" s="18">
        <f t="shared" si="260"/>
        <v>17497200</v>
      </c>
      <c r="BE560" s="19">
        <f t="shared" si="261"/>
        <v>30620100</v>
      </c>
      <c r="BF560" s="20">
        <f t="shared" si="262"/>
        <v>1020670</v>
      </c>
      <c r="BG560" s="20">
        <f t="shared" si="263"/>
        <v>31640770</v>
      </c>
    </row>
    <row r="561" spans="1:59" ht="14.25" customHeight="1">
      <c r="A561" s="147" t="s">
        <v>1311</v>
      </c>
      <c r="B561" s="147" t="s">
        <v>1057</v>
      </c>
      <c r="C561" s="151" t="s">
        <v>733</v>
      </c>
      <c r="D561" s="151" t="s">
        <v>62</v>
      </c>
      <c r="E561" s="151">
        <v>41</v>
      </c>
      <c r="F561" s="149" t="s">
        <v>1494</v>
      </c>
      <c r="G561" s="147" t="s">
        <v>733</v>
      </c>
      <c r="H561" s="147" t="s">
        <v>733</v>
      </c>
      <c r="I561" s="147" t="s">
        <v>733</v>
      </c>
      <c r="J561" s="164">
        <v>80111620</v>
      </c>
      <c r="K561" s="168" t="s">
        <v>1416</v>
      </c>
      <c r="L561" s="168" t="s">
        <v>83</v>
      </c>
      <c r="M561" s="168" t="s">
        <v>1495</v>
      </c>
      <c r="N561" s="168" t="s">
        <v>91</v>
      </c>
      <c r="O561" s="168" t="s">
        <v>91</v>
      </c>
      <c r="P561" s="168" t="s">
        <v>91</v>
      </c>
      <c r="Q561" s="147">
        <v>11</v>
      </c>
      <c r="R561" s="168" t="s">
        <v>72</v>
      </c>
      <c r="S561" s="168" t="s">
        <v>73</v>
      </c>
      <c r="T561" s="168" t="s">
        <v>74</v>
      </c>
      <c r="U561" s="148">
        <v>53483220</v>
      </c>
      <c r="V561" s="148">
        <v>53483220</v>
      </c>
      <c r="W561" s="168" t="s">
        <v>75</v>
      </c>
      <c r="X561" s="168" t="s">
        <v>67</v>
      </c>
      <c r="Y561" s="168" t="s">
        <v>1064</v>
      </c>
      <c r="Z561" s="168" t="s">
        <v>1065</v>
      </c>
      <c r="AA561" s="147">
        <v>6012220601</v>
      </c>
      <c r="AB561" s="205" t="s">
        <v>1066</v>
      </c>
      <c r="AC561" s="14"/>
      <c r="AD561" s="14"/>
      <c r="AE561" s="14"/>
      <c r="AF561" s="14"/>
      <c r="AG561" s="14"/>
      <c r="AH561" s="14"/>
      <c r="AI561" s="14"/>
      <c r="AJ561" s="14"/>
      <c r="AK561" s="14"/>
      <c r="AL561" s="14"/>
      <c r="AM561" s="14"/>
      <c r="AN561" s="14"/>
      <c r="AO561" s="14"/>
      <c r="AP561" s="14"/>
      <c r="AQ561" s="14"/>
      <c r="AR561" s="14"/>
      <c r="AS561" s="14"/>
      <c r="AT561" s="14"/>
      <c r="AU561" s="25"/>
      <c r="AV561" s="25">
        <v>4374300</v>
      </c>
      <c r="AW561" s="25"/>
      <c r="AX561" s="25">
        <v>4374300</v>
      </c>
      <c r="AY561" s="25"/>
      <c r="AZ561" s="25">
        <v>5832400</v>
      </c>
      <c r="BA561" s="17"/>
      <c r="BB561" s="17"/>
      <c r="BC561" s="18">
        <f t="shared" si="259"/>
        <v>0</v>
      </c>
      <c r="BD561" s="18">
        <f t="shared" si="260"/>
        <v>14581000</v>
      </c>
      <c r="BE561" s="19">
        <f t="shared" si="261"/>
        <v>-14581000</v>
      </c>
      <c r="BF561" s="20">
        <f t="shared" si="262"/>
        <v>53483220</v>
      </c>
      <c r="BG561" s="20">
        <f t="shared" si="263"/>
        <v>38902220</v>
      </c>
    </row>
    <row r="562" spans="1:59" ht="14.25" customHeight="1">
      <c r="A562" s="147" t="s">
        <v>1311</v>
      </c>
      <c r="B562" s="147" t="s">
        <v>1057</v>
      </c>
      <c r="C562" s="151" t="s">
        <v>733</v>
      </c>
      <c r="D562" s="151" t="s">
        <v>62</v>
      </c>
      <c r="E562" s="151">
        <v>42</v>
      </c>
      <c r="F562" s="149" t="s">
        <v>1496</v>
      </c>
      <c r="G562" s="147" t="s">
        <v>733</v>
      </c>
      <c r="H562" s="147" t="s">
        <v>733</v>
      </c>
      <c r="I562" s="147" t="s">
        <v>733</v>
      </c>
      <c r="J562" s="164">
        <v>80111620</v>
      </c>
      <c r="K562" s="168" t="s">
        <v>1416</v>
      </c>
      <c r="L562" s="168" t="s">
        <v>83</v>
      </c>
      <c r="M562" s="168" t="s">
        <v>1497</v>
      </c>
      <c r="N562" s="168" t="s">
        <v>91</v>
      </c>
      <c r="O562" s="168" t="s">
        <v>91</v>
      </c>
      <c r="P562" s="168" t="s">
        <v>85</v>
      </c>
      <c r="Q562" s="147">
        <v>10.5</v>
      </c>
      <c r="R562" s="168" t="s">
        <v>72</v>
      </c>
      <c r="S562" s="168" t="s">
        <v>73</v>
      </c>
      <c r="T562" s="168" t="s">
        <v>74</v>
      </c>
      <c r="U562" s="148">
        <v>47534060</v>
      </c>
      <c r="V562" s="148">
        <v>47534060</v>
      </c>
      <c r="W562" s="168" t="s">
        <v>75</v>
      </c>
      <c r="X562" s="168" t="s">
        <v>67</v>
      </c>
      <c r="Y562" s="168" t="s">
        <v>1064</v>
      </c>
      <c r="Z562" s="168" t="s">
        <v>1065</v>
      </c>
      <c r="AA562" s="147">
        <v>6012220601</v>
      </c>
      <c r="AB562" s="205" t="s">
        <v>1066</v>
      </c>
      <c r="AC562" s="14"/>
      <c r="AD562" s="14"/>
      <c r="AE562" s="14"/>
      <c r="AF562" s="14"/>
      <c r="AG562" s="14"/>
      <c r="AH562" s="14"/>
      <c r="AI562" s="14"/>
      <c r="AJ562" s="14"/>
      <c r="AK562" s="14"/>
      <c r="AL562" s="14"/>
      <c r="AM562" s="14"/>
      <c r="AN562" s="14"/>
      <c r="AO562" s="14"/>
      <c r="AP562" s="14"/>
      <c r="AQ562" s="14"/>
      <c r="AR562" s="14"/>
      <c r="AS562" s="14"/>
      <c r="AT562" s="14"/>
      <c r="AU562" s="25"/>
      <c r="AV562" s="25">
        <v>4374300</v>
      </c>
      <c r="AW562" s="25"/>
      <c r="AX562" s="25">
        <v>4374300</v>
      </c>
      <c r="AY562" s="25"/>
      <c r="AZ562" s="25">
        <v>8748600</v>
      </c>
      <c r="BA562" s="17"/>
      <c r="BB562" s="17"/>
      <c r="BC562" s="18">
        <f t="shared" si="259"/>
        <v>0</v>
      </c>
      <c r="BD562" s="18">
        <f t="shared" si="260"/>
        <v>17497200</v>
      </c>
      <c r="BE562" s="19">
        <f t="shared" si="261"/>
        <v>-17497200</v>
      </c>
      <c r="BF562" s="20">
        <f t="shared" si="262"/>
        <v>47534060</v>
      </c>
      <c r="BG562" s="20">
        <f t="shared" si="263"/>
        <v>30036860</v>
      </c>
    </row>
    <row r="563" spans="1:59" ht="14.25" customHeight="1">
      <c r="A563" s="147" t="s">
        <v>1311</v>
      </c>
      <c r="B563" s="147" t="s">
        <v>1057</v>
      </c>
      <c r="C563" s="151" t="s">
        <v>733</v>
      </c>
      <c r="D563" s="151" t="s">
        <v>62</v>
      </c>
      <c r="E563" s="151">
        <v>42</v>
      </c>
      <c r="F563" s="149" t="s">
        <v>1498</v>
      </c>
      <c r="G563" s="147" t="s">
        <v>733</v>
      </c>
      <c r="H563" s="147" t="s">
        <v>733</v>
      </c>
      <c r="I563" s="147" t="s">
        <v>733</v>
      </c>
      <c r="J563" s="164">
        <v>80111620</v>
      </c>
      <c r="K563" s="168" t="s">
        <v>1416</v>
      </c>
      <c r="L563" s="168" t="s">
        <v>83</v>
      </c>
      <c r="M563" s="168" t="s">
        <v>1499</v>
      </c>
      <c r="N563" s="168" t="s">
        <v>91</v>
      </c>
      <c r="O563" s="168" t="s">
        <v>91</v>
      </c>
      <c r="P563" s="168" t="s">
        <v>85</v>
      </c>
      <c r="Q563" s="147">
        <v>11</v>
      </c>
      <c r="R563" s="168" t="s">
        <v>72</v>
      </c>
      <c r="S563" s="168" t="s">
        <v>73</v>
      </c>
      <c r="T563" s="168" t="s">
        <v>74</v>
      </c>
      <c r="U563" s="148">
        <v>74851070</v>
      </c>
      <c r="V563" s="148">
        <v>74851070</v>
      </c>
      <c r="W563" s="168" t="s">
        <v>75</v>
      </c>
      <c r="X563" s="168" t="s">
        <v>67</v>
      </c>
      <c r="Y563" s="168" t="s">
        <v>1064</v>
      </c>
      <c r="Z563" s="168" t="s">
        <v>1065</v>
      </c>
      <c r="AA563" s="147">
        <v>6012220601</v>
      </c>
      <c r="AB563" s="205" t="s">
        <v>1066</v>
      </c>
      <c r="AC563" s="14">
        <v>73296300</v>
      </c>
      <c r="AD563" s="14"/>
      <c r="AE563" s="14"/>
      <c r="AF563" s="14"/>
      <c r="AG563" s="14"/>
      <c r="AH563" s="14"/>
      <c r="AI563" s="14"/>
      <c r="AJ563" s="14"/>
      <c r="AK563" s="14"/>
      <c r="AL563" s="14"/>
      <c r="AM563" s="14"/>
      <c r="AN563" s="14"/>
      <c r="AO563" s="14"/>
      <c r="AP563" s="14"/>
      <c r="AQ563" s="14"/>
      <c r="AR563" s="14"/>
      <c r="AS563" s="14"/>
      <c r="AT563" s="14"/>
      <c r="AU563" s="25"/>
      <c r="AV563" s="25">
        <v>6663300</v>
      </c>
      <c r="AW563" s="25"/>
      <c r="AX563" s="25">
        <v>6663300</v>
      </c>
      <c r="AY563" s="25"/>
      <c r="AZ563" s="25">
        <v>13326600</v>
      </c>
      <c r="BA563" s="17"/>
      <c r="BB563" s="17"/>
      <c r="BC563" s="18">
        <f t="shared" si="259"/>
        <v>73296300</v>
      </c>
      <c r="BD563" s="18">
        <f t="shared" si="260"/>
        <v>26653200</v>
      </c>
      <c r="BE563" s="19">
        <f t="shared" si="261"/>
        <v>46643100</v>
      </c>
      <c r="BF563" s="20">
        <f t="shared" si="262"/>
        <v>1554770</v>
      </c>
      <c r="BG563" s="20">
        <f t="shared" si="263"/>
        <v>48197870</v>
      </c>
    </row>
    <row r="564" spans="1:59" ht="14.25" customHeight="1">
      <c r="A564" s="147" t="s">
        <v>1311</v>
      </c>
      <c r="B564" s="147" t="s">
        <v>1057</v>
      </c>
      <c r="C564" s="151" t="s">
        <v>733</v>
      </c>
      <c r="D564" s="151" t="s">
        <v>62</v>
      </c>
      <c r="E564" s="151">
        <v>42</v>
      </c>
      <c r="F564" s="149" t="s">
        <v>1500</v>
      </c>
      <c r="G564" s="147" t="s">
        <v>733</v>
      </c>
      <c r="H564" s="147" t="s">
        <v>733</v>
      </c>
      <c r="I564" s="147" t="s">
        <v>733</v>
      </c>
      <c r="J564" s="164">
        <v>80111620</v>
      </c>
      <c r="K564" s="168" t="s">
        <v>1416</v>
      </c>
      <c r="L564" s="168" t="s">
        <v>83</v>
      </c>
      <c r="M564" s="168" t="s">
        <v>1501</v>
      </c>
      <c r="N564" s="168" t="s">
        <v>91</v>
      </c>
      <c r="O564" s="168" t="s">
        <v>91</v>
      </c>
      <c r="P564" s="168" t="s">
        <v>85</v>
      </c>
      <c r="Q564" s="147">
        <v>11</v>
      </c>
      <c r="R564" s="168" t="s">
        <v>72</v>
      </c>
      <c r="S564" s="168" t="s">
        <v>73</v>
      </c>
      <c r="T564" s="168" t="s">
        <v>74</v>
      </c>
      <c r="U564" s="148">
        <v>74851070</v>
      </c>
      <c r="V564" s="148">
        <v>74851070</v>
      </c>
      <c r="W564" s="168" t="s">
        <v>75</v>
      </c>
      <c r="X564" s="168" t="s">
        <v>67</v>
      </c>
      <c r="Y564" s="168" t="s">
        <v>1064</v>
      </c>
      <c r="Z564" s="168" t="s">
        <v>1065</v>
      </c>
      <c r="AA564" s="147">
        <v>6012220601</v>
      </c>
      <c r="AB564" s="205" t="s">
        <v>1066</v>
      </c>
      <c r="AC564" s="14">
        <v>73296300</v>
      </c>
      <c r="AD564" s="14"/>
      <c r="AE564" s="14"/>
      <c r="AF564" s="14"/>
      <c r="AG564" s="14"/>
      <c r="AH564" s="14"/>
      <c r="AI564" s="14"/>
      <c r="AJ564" s="14"/>
      <c r="AK564" s="14"/>
      <c r="AL564" s="14"/>
      <c r="AM564" s="14"/>
      <c r="AN564" s="14"/>
      <c r="AO564" s="14"/>
      <c r="AP564" s="14"/>
      <c r="AQ564" s="14"/>
      <c r="AR564" s="14"/>
      <c r="AS564" s="14"/>
      <c r="AT564" s="14"/>
      <c r="AU564" s="25"/>
      <c r="AV564" s="25">
        <v>6663300</v>
      </c>
      <c r="AW564" s="25"/>
      <c r="AX564" s="25">
        <v>6663300</v>
      </c>
      <c r="AY564" s="25"/>
      <c r="AZ564" s="25">
        <v>13326600</v>
      </c>
      <c r="BA564" s="17"/>
      <c r="BB564" s="17"/>
      <c r="BC564" s="18">
        <f t="shared" si="259"/>
        <v>73296300</v>
      </c>
      <c r="BD564" s="18">
        <f t="shared" si="260"/>
        <v>26653200</v>
      </c>
      <c r="BE564" s="19">
        <f t="shared" si="261"/>
        <v>46643100</v>
      </c>
      <c r="BF564" s="20">
        <f t="shared" si="262"/>
        <v>1554770</v>
      </c>
      <c r="BG564" s="20">
        <f t="shared" si="263"/>
        <v>48197870</v>
      </c>
    </row>
    <row r="565" spans="1:59" ht="14.25" customHeight="1">
      <c r="A565" s="147" t="s">
        <v>1311</v>
      </c>
      <c r="B565" s="147" t="s">
        <v>1057</v>
      </c>
      <c r="C565" s="151" t="s">
        <v>733</v>
      </c>
      <c r="D565" s="151" t="s">
        <v>62</v>
      </c>
      <c r="E565" s="151">
        <v>42</v>
      </c>
      <c r="F565" s="149" t="s">
        <v>1502</v>
      </c>
      <c r="G565" s="147" t="s">
        <v>733</v>
      </c>
      <c r="H565" s="147" t="s">
        <v>733</v>
      </c>
      <c r="I565" s="147" t="s">
        <v>733</v>
      </c>
      <c r="J565" s="164">
        <v>80111620</v>
      </c>
      <c r="K565" s="168" t="s">
        <v>1416</v>
      </c>
      <c r="L565" s="168" t="s">
        <v>83</v>
      </c>
      <c r="M565" s="168" t="s">
        <v>1503</v>
      </c>
      <c r="N565" s="168" t="s">
        <v>91</v>
      </c>
      <c r="O565" s="168" t="s">
        <v>85</v>
      </c>
      <c r="P565" s="168" t="s">
        <v>85</v>
      </c>
      <c r="Q565" s="147">
        <v>11</v>
      </c>
      <c r="R565" s="168" t="s">
        <v>72</v>
      </c>
      <c r="S565" s="168" t="s">
        <v>73</v>
      </c>
      <c r="T565" s="168" t="s">
        <v>74</v>
      </c>
      <c r="U565" s="148">
        <v>82999280</v>
      </c>
      <c r="V565" s="148">
        <v>82999280</v>
      </c>
      <c r="W565" s="168" t="s">
        <v>75</v>
      </c>
      <c r="X565" s="168" t="s">
        <v>67</v>
      </c>
      <c r="Y565" s="168" t="s">
        <v>1064</v>
      </c>
      <c r="Z565" s="168" t="s">
        <v>1065</v>
      </c>
      <c r="AA565" s="147">
        <v>6012220601</v>
      </c>
      <c r="AB565" s="205" t="s">
        <v>1066</v>
      </c>
      <c r="AC565" s="14">
        <v>8034800</v>
      </c>
      <c r="AD565" s="14"/>
      <c r="AE565" s="14"/>
      <c r="AF565" s="14"/>
      <c r="AG565" s="14"/>
      <c r="AH565" s="14"/>
      <c r="AI565" s="14"/>
      <c r="AJ565" s="14"/>
      <c r="AK565" s="14"/>
      <c r="AL565" s="14"/>
      <c r="AM565" s="14"/>
      <c r="AN565" s="14"/>
      <c r="AO565" s="14"/>
      <c r="AP565" s="14"/>
      <c r="AQ565" s="14"/>
      <c r="AR565" s="14"/>
      <c r="AS565" s="14"/>
      <c r="AT565" s="14"/>
      <c r="AU565" s="25"/>
      <c r="AV565" s="25">
        <v>7366800</v>
      </c>
      <c r="AW565" s="25"/>
      <c r="AX565" s="25">
        <v>7366800</v>
      </c>
      <c r="AY565" s="25"/>
      <c r="AZ565" s="25">
        <v>14733600</v>
      </c>
      <c r="BA565" s="17"/>
      <c r="BB565" s="17"/>
      <c r="BC565" s="18">
        <f t="shared" si="259"/>
        <v>8034800</v>
      </c>
      <c r="BD565" s="18">
        <f t="shared" si="260"/>
        <v>29467200</v>
      </c>
      <c r="BE565" s="19">
        <f t="shared" si="261"/>
        <v>-21432400</v>
      </c>
      <c r="BF565" s="20">
        <f t="shared" si="262"/>
        <v>74964480</v>
      </c>
      <c r="BG565" s="20">
        <f t="shared" si="263"/>
        <v>53532080</v>
      </c>
    </row>
    <row r="566" spans="1:59" ht="14.25" customHeight="1">
      <c r="A566" s="147" t="s">
        <v>1311</v>
      </c>
      <c r="B566" s="147" t="s">
        <v>1057</v>
      </c>
      <c r="C566" s="151" t="s">
        <v>733</v>
      </c>
      <c r="D566" s="151" t="s">
        <v>62</v>
      </c>
      <c r="E566" s="151">
        <v>42</v>
      </c>
      <c r="F566" s="149" t="s">
        <v>1504</v>
      </c>
      <c r="G566" s="147" t="s">
        <v>733</v>
      </c>
      <c r="H566" s="147" t="s">
        <v>733</v>
      </c>
      <c r="I566" s="147" t="s">
        <v>733</v>
      </c>
      <c r="J566" s="164">
        <v>80111620</v>
      </c>
      <c r="K566" s="168" t="s">
        <v>1416</v>
      </c>
      <c r="L566" s="168" t="s">
        <v>83</v>
      </c>
      <c r="M566" s="168" t="s">
        <v>1505</v>
      </c>
      <c r="N566" s="168" t="s">
        <v>91</v>
      </c>
      <c r="O566" s="168" t="s">
        <v>85</v>
      </c>
      <c r="P566" s="168" t="s">
        <v>91</v>
      </c>
      <c r="Q566" s="147">
        <v>11</v>
      </c>
      <c r="R566" s="168" t="s">
        <v>72</v>
      </c>
      <c r="S566" s="168" t="s">
        <v>73</v>
      </c>
      <c r="T566" s="168" t="s">
        <v>74</v>
      </c>
      <c r="U566" s="148">
        <v>83490400</v>
      </c>
      <c r="V566" s="148">
        <v>83490400</v>
      </c>
      <c r="W566" s="168" t="s">
        <v>75</v>
      </c>
      <c r="X566" s="168" t="s">
        <v>67</v>
      </c>
      <c r="Y566" s="168" t="s">
        <v>1064</v>
      </c>
      <c r="Z566" s="168" t="s">
        <v>1065</v>
      </c>
      <c r="AA566" s="147">
        <v>6012220601</v>
      </c>
      <c r="AB566" s="205" t="s">
        <v>1066</v>
      </c>
      <c r="AC566" s="14"/>
      <c r="AD566" s="14"/>
      <c r="AE566" s="14"/>
      <c r="AF566" s="14"/>
      <c r="AG566" s="14"/>
      <c r="AH566" s="14"/>
      <c r="AI566" s="14"/>
      <c r="AJ566" s="14"/>
      <c r="AK566" s="14"/>
      <c r="AL566" s="14"/>
      <c r="AM566" s="14"/>
      <c r="AN566" s="14"/>
      <c r="AO566" s="14"/>
      <c r="AP566" s="14"/>
      <c r="AQ566" s="14"/>
      <c r="AR566" s="14"/>
      <c r="AS566" s="14"/>
      <c r="AT566" s="14"/>
      <c r="AU566" s="25"/>
      <c r="AV566" s="25">
        <v>7366800</v>
      </c>
      <c r="AW566" s="25"/>
      <c r="AX566" s="25">
        <v>7366800</v>
      </c>
      <c r="AY566" s="25"/>
      <c r="AZ566" s="25">
        <v>11050200</v>
      </c>
      <c r="BA566" s="17"/>
      <c r="BB566" s="17"/>
      <c r="BC566" s="18">
        <f t="shared" si="259"/>
        <v>0</v>
      </c>
      <c r="BD566" s="18">
        <f t="shared" si="260"/>
        <v>25783800</v>
      </c>
      <c r="BE566" s="19">
        <f t="shared" si="261"/>
        <v>-25783800</v>
      </c>
      <c r="BF566" s="20">
        <f t="shared" si="262"/>
        <v>83490400</v>
      </c>
      <c r="BG566" s="20">
        <f t="shared" si="263"/>
        <v>57706600</v>
      </c>
    </row>
    <row r="567" spans="1:59" ht="14.25" customHeight="1">
      <c r="A567" s="147" t="s">
        <v>1311</v>
      </c>
      <c r="B567" s="147" t="s">
        <v>1057</v>
      </c>
      <c r="C567" s="151" t="s">
        <v>733</v>
      </c>
      <c r="D567" s="151" t="s">
        <v>62</v>
      </c>
      <c r="E567" s="151">
        <v>26</v>
      </c>
      <c r="F567" s="149" t="s">
        <v>1506</v>
      </c>
      <c r="G567" s="147" t="s">
        <v>733</v>
      </c>
      <c r="H567" s="147" t="s">
        <v>733</v>
      </c>
      <c r="I567" s="147" t="s">
        <v>733</v>
      </c>
      <c r="J567" s="164">
        <v>80111620</v>
      </c>
      <c r="K567" s="168" t="s">
        <v>1416</v>
      </c>
      <c r="L567" s="168" t="s">
        <v>83</v>
      </c>
      <c r="M567" s="168" t="s">
        <v>1507</v>
      </c>
      <c r="N567" s="168" t="s">
        <v>128</v>
      </c>
      <c r="O567" s="168" t="s">
        <v>128</v>
      </c>
      <c r="P567" s="168" t="s">
        <v>128</v>
      </c>
      <c r="Q567" s="147">
        <v>7</v>
      </c>
      <c r="R567" s="168" t="s">
        <v>72</v>
      </c>
      <c r="S567" s="168" t="s">
        <v>73</v>
      </c>
      <c r="T567" s="168" t="s">
        <v>74</v>
      </c>
      <c r="U567" s="148">
        <v>22669605</v>
      </c>
      <c r="V567" s="148">
        <v>22669605</v>
      </c>
      <c r="W567" s="168" t="s">
        <v>75</v>
      </c>
      <c r="X567" s="168" t="s">
        <v>67</v>
      </c>
      <c r="Y567" s="168" t="s">
        <v>1064</v>
      </c>
      <c r="Z567" s="168" t="s">
        <v>1065</v>
      </c>
      <c r="AA567" s="147">
        <v>6012220601</v>
      </c>
      <c r="AB567" s="205" t="s">
        <v>1066</v>
      </c>
      <c r="AC567" s="14"/>
      <c r="AD567" s="14"/>
      <c r="AE567" s="14"/>
      <c r="AF567" s="14"/>
      <c r="AG567" s="14"/>
      <c r="AH567" s="14"/>
      <c r="AI567" s="14"/>
      <c r="AJ567" s="14"/>
      <c r="AK567" s="14"/>
      <c r="AL567" s="14"/>
      <c r="AM567" s="14"/>
      <c r="AN567" s="14"/>
      <c r="AO567" s="14"/>
      <c r="AP567" s="14"/>
      <c r="AQ567" s="14"/>
      <c r="AR567" s="14"/>
      <c r="AS567" s="14"/>
      <c r="AT567" s="14"/>
      <c r="AU567" s="25"/>
      <c r="AV567" s="25">
        <v>3285450</v>
      </c>
      <c r="AW567" s="25"/>
      <c r="AX567" s="25">
        <v>3285450</v>
      </c>
      <c r="AY567" s="25"/>
      <c r="AZ567" s="25">
        <v>6570900</v>
      </c>
      <c r="BA567" s="17"/>
      <c r="BB567" s="17"/>
      <c r="BC567" s="18">
        <f t="shared" si="259"/>
        <v>0</v>
      </c>
      <c r="BD567" s="18">
        <f t="shared" si="260"/>
        <v>13141800</v>
      </c>
      <c r="BE567" s="19">
        <f t="shared" si="261"/>
        <v>-13141800</v>
      </c>
      <c r="BF567" s="20">
        <f t="shared" si="262"/>
        <v>22669605</v>
      </c>
      <c r="BG567" s="20">
        <f t="shared" si="263"/>
        <v>9527805</v>
      </c>
    </row>
    <row r="568" spans="1:59" ht="14.25" customHeight="1">
      <c r="A568" s="147" t="s">
        <v>1311</v>
      </c>
      <c r="B568" s="147" t="s">
        <v>1057</v>
      </c>
      <c r="C568" s="151" t="s">
        <v>733</v>
      </c>
      <c r="D568" s="151" t="s">
        <v>62</v>
      </c>
      <c r="E568" s="151">
        <v>26</v>
      </c>
      <c r="F568" s="149" t="s">
        <v>1508</v>
      </c>
      <c r="G568" s="147" t="s">
        <v>733</v>
      </c>
      <c r="H568" s="147" t="s">
        <v>733</v>
      </c>
      <c r="I568" s="147" t="s">
        <v>733</v>
      </c>
      <c r="J568" s="164">
        <v>80111620</v>
      </c>
      <c r="K568" s="168" t="s">
        <v>1416</v>
      </c>
      <c r="L568" s="168" t="s">
        <v>83</v>
      </c>
      <c r="M568" s="168" t="s">
        <v>1509</v>
      </c>
      <c r="N568" s="168" t="s">
        <v>128</v>
      </c>
      <c r="O568" s="168" t="s">
        <v>128</v>
      </c>
      <c r="P568" s="168" t="s">
        <v>128</v>
      </c>
      <c r="Q568" s="147">
        <v>7</v>
      </c>
      <c r="R568" s="168" t="s">
        <v>72</v>
      </c>
      <c r="S568" s="168" t="s">
        <v>73</v>
      </c>
      <c r="T568" s="168" t="s">
        <v>74</v>
      </c>
      <c r="U568" s="148">
        <v>31675140</v>
      </c>
      <c r="V568" s="148">
        <v>31675140</v>
      </c>
      <c r="W568" s="168" t="s">
        <v>75</v>
      </c>
      <c r="X568" s="168" t="s">
        <v>67</v>
      </c>
      <c r="Y568" s="168" t="s">
        <v>1064</v>
      </c>
      <c r="Z568" s="168" t="s">
        <v>1065</v>
      </c>
      <c r="AA568" s="147">
        <v>6012220601</v>
      </c>
      <c r="AB568" s="205" t="s">
        <v>1066</v>
      </c>
      <c r="AC568" s="14"/>
      <c r="AD568" s="14"/>
      <c r="AE568" s="14"/>
      <c r="AF568" s="14"/>
      <c r="AG568" s="14"/>
      <c r="AH568" s="14"/>
      <c r="AI568" s="14"/>
      <c r="AJ568" s="14"/>
      <c r="AK568" s="14"/>
      <c r="AL568" s="14"/>
      <c r="AM568" s="14"/>
      <c r="AN568" s="14"/>
      <c r="AO568" s="14"/>
      <c r="AP568" s="14"/>
      <c r="AQ568" s="14"/>
      <c r="AR568" s="14"/>
      <c r="AS568" s="14"/>
      <c r="AT568" s="14"/>
      <c r="AU568" s="25"/>
      <c r="AV568" s="25">
        <v>4590600</v>
      </c>
      <c r="AW568" s="25"/>
      <c r="AX568" s="25">
        <v>4590600</v>
      </c>
      <c r="AY568" s="25"/>
      <c r="AZ568" s="25">
        <v>9181200</v>
      </c>
      <c r="BA568" s="17"/>
      <c r="BB568" s="17"/>
      <c r="BC568" s="18">
        <f t="shared" si="259"/>
        <v>0</v>
      </c>
      <c r="BD568" s="18">
        <f t="shared" si="260"/>
        <v>18362400</v>
      </c>
      <c r="BE568" s="19">
        <f t="shared" si="261"/>
        <v>-18362400</v>
      </c>
      <c r="BF568" s="20">
        <f t="shared" si="262"/>
        <v>31675140</v>
      </c>
      <c r="BG568" s="20">
        <f t="shared" si="263"/>
        <v>13312740</v>
      </c>
    </row>
    <row r="569" spans="1:59" ht="14.25" customHeight="1">
      <c r="A569" s="147" t="s">
        <v>1311</v>
      </c>
      <c r="B569" s="147" t="s">
        <v>1057</v>
      </c>
      <c r="C569" s="151" t="s">
        <v>733</v>
      </c>
      <c r="D569" s="151" t="s">
        <v>62</v>
      </c>
      <c r="E569" s="151" t="s">
        <v>114</v>
      </c>
      <c r="F569" s="149" t="s">
        <v>1510</v>
      </c>
      <c r="G569" s="147" t="s">
        <v>733</v>
      </c>
      <c r="H569" s="147" t="s">
        <v>733</v>
      </c>
      <c r="I569" s="147" t="s">
        <v>733</v>
      </c>
      <c r="J569" s="164">
        <v>80111620</v>
      </c>
      <c r="K569" s="168" t="s">
        <v>1416</v>
      </c>
      <c r="L569" s="168" t="s">
        <v>83</v>
      </c>
      <c r="M569" s="168" t="s">
        <v>1511</v>
      </c>
      <c r="N569" s="168" t="s">
        <v>91</v>
      </c>
      <c r="O569" s="168" t="s">
        <v>85</v>
      </c>
      <c r="P569" s="168" t="s">
        <v>85</v>
      </c>
      <c r="Q569" s="147">
        <v>11</v>
      </c>
      <c r="R569" s="168" t="s">
        <v>72</v>
      </c>
      <c r="S569" s="168" t="s">
        <v>73</v>
      </c>
      <c r="T569" s="168" t="s">
        <v>74</v>
      </c>
      <c r="U569" s="148">
        <v>95150000</v>
      </c>
      <c r="V569" s="148">
        <v>95150000</v>
      </c>
      <c r="W569" s="168" t="s">
        <v>75</v>
      </c>
      <c r="X569" s="168" t="s">
        <v>67</v>
      </c>
      <c r="Y569" s="168" t="s">
        <v>1064</v>
      </c>
      <c r="Z569" s="168" t="s">
        <v>1065</v>
      </c>
      <c r="AA569" s="147">
        <v>6012220601</v>
      </c>
      <c r="AB569" s="205" t="s">
        <v>1066</v>
      </c>
      <c r="AC569" s="14"/>
      <c r="AD569" s="14"/>
      <c r="AE569" s="14"/>
      <c r="AF569" s="14"/>
      <c r="AG569" s="14"/>
      <c r="AH569" s="14"/>
      <c r="AI569" s="14"/>
      <c r="AJ569" s="14"/>
      <c r="AK569" s="14"/>
      <c r="AL569" s="14"/>
      <c r="AM569" s="14"/>
      <c r="AN569" s="14"/>
      <c r="AO569" s="14"/>
      <c r="AP569" s="14"/>
      <c r="AQ569" s="14"/>
      <c r="AR569" s="14"/>
      <c r="AS569" s="14"/>
      <c r="AT569" s="14"/>
      <c r="AU569" s="25"/>
      <c r="AV569" s="25">
        <v>8650000</v>
      </c>
      <c r="AW569" s="25"/>
      <c r="AX569" s="25">
        <v>8650000</v>
      </c>
      <c r="AY569" s="25"/>
      <c r="AZ569" s="25">
        <v>17300000</v>
      </c>
      <c r="BA569" s="17"/>
      <c r="BB569" s="17"/>
      <c r="BC569" s="18">
        <f t="shared" si="259"/>
        <v>0</v>
      </c>
      <c r="BD569" s="18">
        <f t="shared" si="260"/>
        <v>34600000</v>
      </c>
      <c r="BE569" s="19">
        <f t="shared" si="261"/>
        <v>-34600000</v>
      </c>
      <c r="BF569" s="20">
        <f t="shared" si="262"/>
        <v>95150000</v>
      </c>
      <c r="BG569" s="20">
        <f t="shared" si="263"/>
        <v>60550000</v>
      </c>
    </row>
    <row r="570" spans="1:59" ht="14.25" customHeight="1">
      <c r="A570" s="147" t="s">
        <v>1311</v>
      </c>
      <c r="B570" s="147" t="s">
        <v>1057</v>
      </c>
      <c r="C570" s="151" t="s">
        <v>733</v>
      </c>
      <c r="D570" s="151" t="s">
        <v>62</v>
      </c>
      <c r="E570" s="151">
        <v>42</v>
      </c>
      <c r="F570" s="149" t="s">
        <v>1512</v>
      </c>
      <c r="G570" s="147" t="s">
        <v>733</v>
      </c>
      <c r="H570" s="147" t="s">
        <v>733</v>
      </c>
      <c r="I570" s="147" t="s">
        <v>733</v>
      </c>
      <c r="J570" s="164">
        <v>80111620</v>
      </c>
      <c r="K570" s="168" t="s">
        <v>1416</v>
      </c>
      <c r="L570" s="168" t="s">
        <v>83</v>
      </c>
      <c r="M570" s="168" t="s">
        <v>1513</v>
      </c>
      <c r="N570" s="168" t="s">
        <v>91</v>
      </c>
      <c r="O570" s="168" t="s">
        <v>91</v>
      </c>
      <c r="P570" s="168" t="s">
        <v>91</v>
      </c>
      <c r="Q570" s="147">
        <v>11</v>
      </c>
      <c r="R570" s="168" t="s">
        <v>72</v>
      </c>
      <c r="S570" s="168" t="s">
        <v>73</v>
      </c>
      <c r="T570" s="168" t="s">
        <v>74</v>
      </c>
      <c r="U570" s="148">
        <v>102475000</v>
      </c>
      <c r="V570" s="148">
        <v>102475000</v>
      </c>
      <c r="W570" s="168" t="s">
        <v>75</v>
      </c>
      <c r="X570" s="168" t="s">
        <v>67</v>
      </c>
      <c r="Y570" s="168" t="s">
        <v>1064</v>
      </c>
      <c r="Z570" s="168" t="s">
        <v>1065</v>
      </c>
      <c r="AA570" s="147">
        <v>6012220601</v>
      </c>
      <c r="AB570" s="205" t="s">
        <v>1066</v>
      </c>
      <c r="AC570" s="14"/>
      <c r="AD570" s="14"/>
      <c r="AE570" s="14"/>
      <c r="AF570" s="14"/>
      <c r="AG570" s="14"/>
      <c r="AH570" s="14"/>
      <c r="AI570" s="14"/>
      <c r="AJ570" s="14"/>
      <c r="AK570" s="14"/>
      <c r="AL570" s="14"/>
      <c r="AM570" s="14"/>
      <c r="AN570" s="14"/>
      <c r="AO570" s="14"/>
      <c r="AP570" s="14"/>
      <c r="AQ570" s="14"/>
      <c r="AR570" s="14"/>
      <c r="AS570" s="14"/>
      <c r="AT570" s="14"/>
      <c r="AU570" s="25"/>
      <c r="AV570" s="25">
        <v>8920000</v>
      </c>
      <c r="AW570" s="25"/>
      <c r="AX570" s="25">
        <v>8920000</v>
      </c>
      <c r="AY570" s="25"/>
      <c r="AZ570" s="25">
        <v>16978000</v>
      </c>
      <c r="BA570" s="17"/>
      <c r="BB570" s="17"/>
      <c r="BC570" s="18">
        <f t="shared" si="259"/>
        <v>0</v>
      </c>
      <c r="BD570" s="18">
        <f t="shared" si="260"/>
        <v>34818000</v>
      </c>
      <c r="BE570" s="19">
        <f t="shared" si="261"/>
        <v>-34818000</v>
      </c>
      <c r="BF570" s="20">
        <f t="shared" si="262"/>
        <v>102475000</v>
      </c>
      <c r="BG570" s="20">
        <f t="shared" si="263"/>
        <v>67657000</v>
      </c>
    </row>
    <row r="571" spans="1:59" ht="14.25" customHeight="1">
      <c r="A571" s="147" t="s">
        <v>1311</v>
      </c>
      <c r="B571" s="147" t="s">
        <v>1057</v>
      </c>
      <c r="C571" s="151" t="s">
        <v>733</v>
      </c>
      <c r="D571" s="151" t="s">
        <v>62</v>
      </c>
      <c r="E571" s="151">
        <v>42</v>
      </c>
      <c r="F571" s="149" t="s">
        <v>1514</v>
      </c>
      <c r="G571" s="147" t="s">
        <v>733</v>
      </c>
      <c r="H571" s="147" t="s">
        <v>733</v>
      </c>
      <c r="I571" s="147" t="s">
        <v>733</v>
      </c>
      <c r="J571" s="164">
        <v>80111620</v>
      </c>
      <c r="K571" s="168" t="s">
        <v>1416</v>
      </c>
      <c r="L571" s="168" t="s">
        <v>83</v>
      </c>
      <c r="M571" s="168" t="s">
        <v>1515</v>
      </c>
      <c r="N571" s="168" t="s">
        <v>91</v>
      </c>
      <c r="O571" s="168" t="s">
        <v>91</v>
      </c>
      <c r="P571" s="168" t="s">
        <v>91</v>
      </c>
      <c r="Q571" s="147">
        <v>11</v>
      </c>
      <c r="R571" s="168" t="s">
        <v>72</v>
      </c>
      <c r="S571" s="168" t="s">
        <v>73</v>
      </c>
      <c r="T571" s="168" t="s">
        <v>74</v>
      </c>
      <c r="U571" s="148">
        <v>104205000</v>
      </c>
      <c r="V571" s="148">
        <v>104205000</v>
      </c>
      <c r="W571" s="168" t="s">
        <v>75</v>
      </c>
      <c r="X571" s="168" t="s">
        <v>67</v>
      </c>
      <c r="Y571" s="168" t="s">
        <v>1064</v>
      </c>
      <c r="Z571" s="168" t="s">
        <v>1065</v>
      </c>
      <c r="AA571" s="147">
        <v>6012220601</v>
      </c>
      <c r="AB571" s="205" t="s">
        <v>1066</v>
      </c>
      <c r="AC571" s="14"/>
      <c r="AD571" s="14"/>
      <c r="AE571" s="14"/>
      <c r="AF571" s="14"/>
      <c r="AG571" s="14"/>
      <c r="AH571" s="14"/>
      <c r="AI571" s="14"/>
      <c r="AJ571" s="14"/>
      <c r="AK571" s="14"/>
      <c r="AL571" s="14"/>
      <c r="AM571" s="14"/>
      <c r="AN571" s="14"/>
      <c r="AO571" s="14"/>
      <c r="AP571" s="14"/>
      <c r="AQ571" s="14"/>
      <c r="AR571" s="14"/>
      <c r="AS571" s="14"/>
      <c r="AT571" s="14"/>
      <c r="AU571" s="25"/>
      <c r="AV571" s="25">
        <v>8920000</v>
      </c>
      <c r="AW571" s="25"/>
      <c r="AX571" s="25">
        <v>8920000</v>
      </c>
      <c r="AY571" s="25"/>
      <c r="AZ571" s="25">
        <v>11925000</v>
      </c>
      <c r="BA571" s="17"/>
      <c r="BB571" s="17"/>
      <c r="BC571" s="18">
        <f t="shared" si="259"/>
        <v>0</v>
      </c>
      <c r="BD571" s="18">
        <f t="shared" si="260"/>
        <v>29765000</v>
      </c>
      <c r="BE571" s="19">
        <f t="shared" si="261"/>
        <v>-29765000</v>
      </c>
      <c r="BF571" s="20">
        <f t="shared" si="262"/>
        <v>104205000</v>
      </c>
      <c r="BG571" s="20">
        <f t="shared" si="263"/>
        <v>74440000</v>
      </c>
    </row>
    <row r="572" spans="1:59" ht="14.25" customHeight="1">
      <c r="A572" s="147" t="s">
        <v>1311</v>
      </c>
      <c r="B572" s="147" t="s">
        <v>1057</v>
      </c>
      <c r="C572" s="151" t="s">
        <v>733</v>
      </c>
      <c r="D572" s="151" t="s">
        <v>62</v>
      </c>
      <c r="E572" s="151" t="s">
        <v>114</v>
      </c>
      <c r="F572" s="149" t="s">
        <v>1516</v>
      </c>
      <c r="G572" s="147" t="s">
        <v>733</v>
      </c>
      <c r="H572" s="147" t="s">
        <v>733</v>
      </c>
      <c r="I572" s="147" t="s">
        <v>733</v>
      </c>
      <c r="J572" s="164">
        <v>80111620</v>
      </c>
      <c r="K572" s="168" t="s">
        <v>1416</v>
      </c>
      <c r="L572" s="168" t="s">
        <v>83</v>
      </c>
      <c r="M572" s="168" t="s">
        <v>1517</v>
      </c>
      <c r="N572" s="168" t="s">
        <v>91</v>
      </c>
      <c r="O572" s="168" t="s">
        <v>91</v>
      </c>
      <c r="P572" s="168" t="s">
        <v>85</v>
      </c>
      <c r="Q572" s="147">
        <v>11</v>
      </c>
      <c r="R572" s="168" t="s">
        <v>72</v>
      </c>
      <c r="S572" s="168" t="s">
        <v>73</v>
      </c>
      <c r="T572" s="168" t="s">
        <v>74</v>
      </c>
      <c r="U572" s="148">
        <v>95150000</v>
      </c>
      <c r="V572" s="148">
        <v>95150000</v>
      </c>
      <c r="W572" s="168" t="s">
        <v>75</v>
      </c>
      <c r="X572" s="168" t="s">
        <v>67</v>
      </c>
      <c r="Y572" s="168" t="s">
        <v>1064</v>
      </c>
      <c r="Z572" s="168" t="s">
        <v>1065</v>
      </c>
      <c r="AA572" s="147">
        <v>6012220601</v>
      </c>
      <c r="AB572" s="205" t="s">
        <v>1066</v>
      </c>
      <c r="AC572" s="14">
        <v>95150000</v>
      </c>
      <c r="AD572" s="14"/>
      <c r="AE572" s="14"/>
      <c r="AF572" s="14"/>
      <c r="AG572" s="14"/>
      <c r="AH572" s="14"/>
      <c r="AI572" s="14"/>
      <c r="AJ572" s="14"/>
      <c r="AK572" s="14"/>
      <c r="AL572" s="14"/>
      <c r="AM572" s="14"/>
      <c r="AN572" s="14"/>
      <c r="AO572" s="14"/>
      <c r="AP572" s="14"/>
      <c r="AQ572" s="14"/>
      <c r="AR572" s="14"/>
      <c r="AS572" s="14"/>
      <c r="AT572" s="14"/>
      <c r="AU572" s="25"/>
      <c r="AV572" s="25">
        <v>8650000</v>
      </c>
      <c r="AW572" s="25"/>
      <c r="AX572" s="25">
        <v>8650000</v>
      </c>
      <c r="AY572" s="25"/>
      <c r="AZ572" s="25">
        <v>17300000</v>
      </c>
      <c r="BA572" s="17"/>
      <c r="BB572" s="17"/>
      <c r="BC572" s="18">
        <f t="shared" si="259"/>
        <v>95150000</v>
      </c>
      <c r="BD572" s="18">
        <f t="shared" si="260"/>
        <v>34600000</v>
      </c>
      <c r="BE572" s="19">
        <f t="shared" si="261"/>
        <v>60550000</v>
      </c>
      <c r="BF572" s="20">
        <f t="shared" si="262"/>
        <v>0</v>
      </c>
      <c r="BG572" s="20">
        <f t="shared" si="263"/>
        <v>60550000</v>
      </c>
    </row>
    <row r="573" spans="1:59" ht="14.25" customHeight="1">
      <c r="A573" s="147" t="s">
        <v>1311</v>
      </c>
      <c r="B573" s="147" t="s">
        <v>1057</v>
      </c>
      <c r="C573" s="151" t="s">
        <v>733</v>
      </c>
      <c r="D573" s="151" t="s">
        <v>62</v>
      </c>
      <c r="E573" s="151" t="s">
        <v>114</v>
      </c>
      <c r="F573" s="149" t="s">
        <v>1518</v>
      </c>
      <c r="G573" s="147" t="s">
        <v>733</v>
      </c>
      <c r="H573" s="147" t="s">
        <v>733</v>
      </c>
      <c r="I573" s="147" t="s">
        <v>733</v>
      </c>
      <c r="J573" s="164">
        <v>80111620</v>
      </c>
      <c r="K573" s="168" t="s">
        <v>1416</v>
      </c>
      <c r="L573" s="168" t="s">
        <v>83</v>
      </c>
      <c r="M573" s="168" t="s">
        <v>1519</v>
      </c>
      <c r="N573" s="168" t="s">
        <v>91</v>
      </c>
      <c r="O573" s="168" t="s">
        <v>91</v>
      </c>
      <c r="P573" s="168" t="s">
        <v>85</v>
      </c>
      <c r="Q573" s="147">
        <v>11</v>
      </c>
      <c r="R573" s="168" t="s">
        <v>72</v>
      </c>
      <c r="S573" s="168" t="s">
        <v>73</v>
      </c>
      <c r="T573" s="168" t="s">
        <v>74</v>
      </c>
      <c r="U573" s="148">
        <v>97150000</v>
      </c>
      <c r="V573" s="148">
        <v>97150000</v>
      </c>
      <c r="W573" s="168" t="s">
        <v>75</v>
      </c>
      <c r="X573" s="168" t="s">
        <v>67</v>
      </c>
      <c r="Y573" s="168" t="s">
        <v>1064</v>
      </c>
      <c r="Z573" s="168" t="s">
        <v>1065</v>
      </c>
      <c r="AA573" s="147">
        <v>6012220601</v>
      </c>
      <c r="AB573" s="205" t="s">
        <v>1066</v>
      </c>
      <c r="AC573" s="14"/>
      <c r="AD573" s="14"/>
      <c r="AE573" s="14"/>
      <c r="AF573" s="14"/>
      <c r="AG573" s="14"/>
      <c r="AH573" s="14"/>
      <c r="AI573" s="14"/>
      <c r="AJ573" s="14"/>
      <c r="AK573" s="14"/>
      <c r="AL573" s="14"/>
      <c r="AM573" s="14"/>
      <c r="AN573" s="14"/>
      <c r="AO573" s="14"/>
      <c r="AP573" s="14"/>
      <c r="AQ573" s="14"/>
      <c r="AR573" s="14"/>
      <c r="AS573" s="14"/>
      <c r="AT573" s="14"/>
      <c r="AU573" s="25"/>
      <c r="AV573" s="25">
        <v>8800000</v>
      </c>
      <c r="AW573" s="25"/>
      <c r="AX573" s="25">
        <v>8800000</v>
      </c>
      <c r="AY573" s="25"/>
      <c r="AZ573" s="25">
        <v>17950000</v>
      </c>
      <c r="BA573" s="17"/>
      <c r="BB573" s="17"/>
      <c r="BC573" s="18">
        <f t="shared" si="259"/>
        <v>0</v>
      </c>
      <c r="BD573" s="18">
        <f t="shared" si="260"/>
        <v>35550000</v>
      </c>
      <c r="BE573" s="19">
        <f t="shared" si="261"/>
        <v>-35550000</v>
      </c>
      <c r="BF573" s="20">
        <f t="shared" si="262"/>
        <v>97150000</v>
      </c>
      <c r="BG573" s="20">
        <f t="shared" si="263"/>
        <v>61600000</v>
      </c>
    </row>
    <row r="574" spans="1:59" ht="14.25" customHeight="1">
      <c r="A574" s="147" t="s">
        <v>1311</v>
      </c>
      <c r="B574" s="147" t="s">
        <v>1057</v>
      </c>
      <c r="C574" s="151" t="s">
        <v>733</v>
      </c>
      <c r="D574" s="151" t="s">
        <v>62</v>
      </c>
      <c r="E574" s="151">
        <v>5</v>
      </c>
      <c r="F574" s="149" t="s">
        <v>1520</v>
      </c>
      <c r="G574" s="147" t="s">
        <v>733</v>
      </c>
      <c r="H574" s="147" t="s">
        <v>733</v>
      </c>
      <c r="I574" s="147" t="s">
        <v>733</v>
      </c>
      <c r="J574" s="164">
        <v>80111620</v>
      </c>
      <c r="K574" s="168" t="s">
        <v>1416</v>
      </c>
      <c r="L574" s="168" t="s">
        <v>83</v>
      </c>
      <c r="M574" s="168" t="s">
        <v>1521</v>
      </c>
      <c r="N574" s="168" t="s">
        <v>85</v>
      </c>
      <c r="O574" s="168" t="s">
        <v>85</v>
      </c>
      <c r="P574" s="168" t="s">
        <v>85</v>
      </c>
      <c r="Q574" s="147">
        <v>11</v>
      </c>
      <c r="R574" s="168" t="s">
        <v>72</v>
      </c>
      <c r="S574" s="168" t="s">
        <v>73</v>
      </c>
      <c r="T574" s="168" t="s">
        <v>74</v>
      </c>
      <c r="U574" s="148">
        <v>96272715</v>
      </c>
      <c r="V574" s="148">
        <v>96272715</v>
      </c>
      <c r="W574" s="168" t="s">
        <v>75</v>
      </c>
      <c r="X574" s="168" t="s">
        <v>67</v>
      </c>
      <c r="Y574" s="168" t="s">
        <v>1064</v>
      </c>
      <c r="Z574" s="168" t="s">
        <v>1065</v>
      </c>
      <c r="AA574" s="147">
        <v>6012220601</v>
      </c>
      <c r="AB574" s="205" t="s">
        <v>1066</v>
      </c>
      <c r="AC574" s="14"/>
      <c r="AD574" s="14"/>
      <c r="AE574" s="14"/>
      <c r="AF574" s="14"/>
      <c r="AG574" s="14"/>
      <c r="AH574" s="14"/>
      <c r="AI574" s="14"/>
      <c r="AJ574" s="14"/>
      <c r="AK574" s="14"/>
      <c r="AL574" s="14"/>
      <c r="AM574" s="14"/>
      <c r="AN574" s="14"/>
      <c r="AO574" s="14"/>
      <c r="AP574" s="14"/>
      <c r="AQ574" s="14"/>
      <c r="AR574" s="14"/>
      <c r="AS574" s="14"/>
      <c r="AT574" s="14"/>
      <c r="AU574" s="15"/>
      <c r="AV574" s="15">
        <v>8997450</v>
      </c>
      <c r="AW574" s="15"/>
      <c r="AX574" s="15">
        <v>8997450</v>
      </c>
      <c r="AY574" s="15"/>
      <c r="AZ574" s="15">
        <v>17994900</v>
      </c>
      <c r="BA574" s="17"/>
      <c r="BB574" s="17"/>
      <c r="BC574" s="18">
        <f t="shared" si="259"/>
        <v>0</v>
      </c>
      <c r="BD574" s="18">
        <f t="shared" si="260"/>
        <v>35989800</v>
      </c>
      <c r="BE574" s="19">
        <f t="shared" si="261"/>
        <v>-35989800</v>
      </c>
      <c r="BF574" s="20">
        <f t="shared" si="262"/>
        <v>96272715</v>
      </c>
      <c r="BG574" s="20">
        <f t="shared" si="263"/>
        <v>60282915</v>
      </c>
    </row>
    <row r="575" spans="1:59" ht="14.25" customHeight="1">
      <c r="A575" s="147" t="s">
        <v>1311</v>
      </c>
      <c r="B575" s="147" t="s">
        <v>1057</v>
      </c>
      <c r="C575" s="151" t="s">
        <v>733</v>
      </c>
      <c r="D575" s="151" t="s">
        <v>62</v>
      </c>
      <c r="E575" s="151" t="s">
        <v>114</v>
      </c>
      <c r="F575" s="149" t="s">
        <v>1522</v>
      </c>
      <c r="G575" s="147" t="s">
        <v>733</v>
      </c>
      <c r="H575" s="147" t="s">
        <v>733</v>
      </c>
      <c r="I575" s="147" t="s">
        <v>733</v>
      </c>
      <c r="J575" s="164">
        <v>80111620</v>
      </c>
      <c r="K575" s="168" t="s">
        <v>1416</v>
      </c>
      <c r="L575" s="168" t="s">
        <v>83</v>
      </c>
      <c r="M575" s="168" t="s">
        <v>1523</v>
      </c>
      <c r="N575" s="168" t="s">
        <v>85</v>
      </c>
      <c r="O575" s="168" t="s">
        <v>85</v>
      </c>
      <c r="P575" s="168" t="s">
        <v>85</v>
      </c>
      <c r="Q575" s="147">
        <v>11</v>
      </c>
      <c r="R575" s="168" t="s">
        <v>72</v>
      </c>
      <c r="S575" s="168" t="s">
        <v>73</v>
      </c>
      <c r="T575" s="168" t="s">
        <v>74</v>
      </c>
      <c r="U575" s="148">
        <v>85000000</v>
      </c>
      <c r="V575" s="148">
        <v>85000000</v>
      </c>
      <c r="W575" s="168" t="s">
        <v>75</v>
      </c>
      <c r="X575" s="168" t="s">
        <v>67</v>
      </c>
      <c r="Y575" s="168" t="s">
        <v>1064</v>
      </c>
      <c r="Z575" s="168" t="s">
        <v>1065</v>
      </c>
      <c r="AA575" s="147">
        <v>6012220601</v>
      </c>
      <c r="AB575" s="205" t="s">
        <v>1066</v>
      </c>
      <c r="AC575" s="14">
        <v>85000000</v>
      </c>
      <c r="AD575" s="14"/>
      <c r="AE575" s="14"/>
      <c r="AF575" s="14"/>
      <c r="AG575" s="14"/>
      <c r="AH575" s="14"/>
      <c r="AI575" s="14"/>
      <c r="AJ575" s="14"/>
      <c r="AK575" s="14"/>
      <c r="AL575" s="14"/>
      <c r="AM575" s="14"/>
      <c r="AN575" s="14"/>
      <c r="AO575" s="14"/>
      <c r="AP575" s="14"/>
      <c r="AQ575" s="14"/>
      <c r="AR575" s="14"/>
      <c r="AS575" s="14"/>
      <c r="AT575" s="14"/>
      <c r="AU575" s="25"/>
      <c r="AV575" s="25">
        <v>7727273</v>
      </c>
      <c r="AW575" s="25"/>
      <c r="AX575" s="25">
        <v>7727273</v>
      </c>
      <c r="AY575" s="25"/>
      <c r="AZ575" s="25">
        <v>15454543</v>
      </c>
      <c r="BA575" s="17"/>
      <c r="BB575" s="17"/>
      <c r="BC575" s="18">
        <f t="shared" si="259"/>
        <v>85000000</v>
      </c>
      <c r="BD575" s="18">
        <f t="shared" si="260"/>
        <v>30909089</v>
      </c>
      <c r="BE575" s="19">
        <f t="shared" si="261"/>
        <v>54090911</v>
      </c>
      <c r="BF575" s="20">
        <f t="shared" si="262"/>
        <v>0</v>
      </c>
      <c r="BG575" s="20">
        <f t="shared" si="263"/>
        <v>54090911</v>
      </c>
    </row>
    <row r="576" spans="1:59" ht="14.25" customHeight="1">
      <c r="A576" s="147" t="s">
        <v>1311</v>
      </c>
      <c r="B576" s="147" t="s">
        <v>1057</v>
      </c>
      <c r="C576" s="151" t="s">
        <v>733</v>
      </c>
      <c r="D576" s="151" t="s">
        <v>62</v>
      </c>
      <c r="E576" s="151" t="s">
        <v>114</v>
      </c>
      <c r="F576" s="149" t="s">
        <v>1524</v>
      </c>
      <c r="G576" s="147" t="s">
        <v>733</v>
      </c>
      <c r="H576" s="147" t="s">
        <v>733</v>
      </c>
      <c r="I576" s="147" t="s">
        <v>733</v>
      </c>
      <c r="J576" s="164">
        <v>80111620</v>
      </c>
      <c r="K576" s="168" t="s">
        <v>1416</v>
      </c>
      <c r="L576" s="168" t="s">
        <v>83</v>
      </c>
      <c r="M576" s="168" t="s">
        <v>1525</v>
      </c>
      <c r="N576" s="168" t="s">
        <v>91</v>
      </c>
      <c r="O576" s="168" t="s">
        <v>91</v>
      </c>
      <c r="P576" s="168" t="s">
        <v>91</v>
      </c>
      <c r="Q576" s="147">
        <v>11.5</v>
      </c>
      <c r="R576" s="168" t="s">
        <v>72</v>
      </c>
      <c r="S576" s="168" t="s">
        <v>73</v>
      </c>
      <c r="T576" s="168" t="s">
        <v>74</v>
      </c>
      <c r="U576" s="148">
        <v>120138452</v>
      </c>
      <c r="V576" s="148">
        <v>120138452</v>
      </c>
      <c r="W576" s="168" t="s">
        <v>75</v>
      </c>
      <c r="X576" s="168" t="s">
        <v>67</v>
      </c>
      <c r="Y576" s="168" t="s">
        <v>1064</v>
      </c>
      <c r="Z576" s="168" t="s">
        <v>1065</v>
      </c>
      <c r="AA576" s="147">
        <v>6012220601</v>
      </c>
      <c r="AB576" s="205" t="s">
        <v>1066</v>
      </c>
      <c r="AC576" s="14"/>
      <c r="AD576" s="14"/>
      <c r="AE576" s="14"/>
      <c r="AF576" s="14"/>
      <c r="AG576" s="14"/>
      <c r="AH576" s="14"/>
      <c r="AI576" s="14"/>
      <c r="AJ576" s="14"/>
      <c r="AK576" s="14"/>
      <c r="AL576" s="14"/>
      <c r="AM576" s="14"/>
      <c r="AN576" s="14"/>
      <c r="AO576" s="14"/>
      <c r="AP576" s="14"/>
      <c r="AQ576" s="14"/>
      <c r="AR576" s="14"/>
      <c r="AS576" s="14"/>
      <c r="AT576" s="14"/>
      <c r="AU576" s="25"/>
      <c r="AV576" s="25">
        <v>10446822</v>
      </c>
      <c r="AW576" s="25"/>
      <c r="AX576" s="25">
        <v>10446822</v>
      </c>
      <c r="AY576" s="25"/>
      <c r="AZ576" s="25">
        <v>20893644</v>
      </c>
      <c r="BA576" s="17"/>
      <c r="BB576" s="17"/>
      <c r="BC576" s="18">
        <f t="shared" si="259"/>
        <v>0</v>
      </c>
      <c r="BD576" s="18">
        <f t="shared" si="260"/>
        <v>41787288</v>
      </c>
      <c r="BE576" s="19">
        <f t="shared" si="261"/>
        <v>-41787288</v>
      </c>
      <c r="BF576" s="20">
        <f t="shared" si="262"/>
        <v>120138452</v>
      </c>
      <c r="BG576" s="20">
        <f t="shared" si="263"/>
        <v>78351164</v>
      </c>
    </row>
    <row r="577" spans="1:59" ht="14.25" customHeight="1">
      <c r="A577" s="147" t="s">
        <v>1311</v>
      </c>
      <c r="B577" s="147" t="s">
        <v>1057</v>
      </c>
      <c r="C577" s="151" t="s">
        <v>733</v>
      </c>
      <c r="D577" s="151" t="s">
        <v>62</v>
      </c>
      <c r="E577" s="151">
        <v>13</v>
      </c>
      <c r="F577" s="149" t="s">
        <v>1526</v>
      </c>
      <c r="G577" s="147" t="s">
        <v>733</v>
      </c>
      <c r="H577" s="147" t="s">
        <v>733</v>
      </c>
      <c r="I577" s="147" t="s">
        <v>733</v>
      </c>
      <c r="J577" s="164">
        <v>80111620</v>
      </c>
      <c r="K577" s="168" t="s">
        <v>1416</v>
      </c>
      <c r="L577" s="168" t="s">
        <v>83</v>
      </c>
      <c r="M577" s="168" t="s">
        <v>1527</v>
      </c>
      <c r="N577" s="168" t="s">
        <v>91</v>
      </c>
      <c r="O577" s="168" t="s">
        <v>85</v>
      </c>
      <c r="P577" s="168" t="s">
        <v>85</v>
      </c>
      <c r="Q577" s="147">
        <v>10.5</v>
      </c>
      <c r="R577" s="168" t="s">
        <v>72</v>
      </c>
      <c r="S577" s="168" t="s">
        <v>73</v>
      </c>
      <c r="T577" s="168" t="s">
        <v>74</v>
      </c>
      <c r="U577" s="148">
        <v>64010920</v>
      </c>
      <c r="V577" s="148">
        <v>64010920</v>
      </c>
      <c r="W577" s="168" t="s">
        <v>75</v>
      </c>
      <c r="X577" s="168" t="s">
        <v>67</v>
      </c>
      <c r="Y577" s="168" t="s">
        <v>1064</v>
      </c>
      <c r="Z577" s="168" t="s">
        <v>1065</v>
      </c>
      <c r="AA577" s="147">
        <v>6012220601</v>
      </c>
      <c r="AB577" s="205" t="s">
        <v>1066</v>
      </c>
      <c r="AC577" s="14"/>
      <c r="AD577" s="14"/>
      <c r="AE577" s="14"/>
      <c r="AF577" s="14"/>
      <c r="AG577" s="14"/>
      <c r="AH577" s="14"/>
      <c r="AI577" s="14"/>
      <c r="AJ577" s="14"/>
      <c r="AK577" s="14"/>
      <c r="AL577" s="14"/>
      <c r="AM577" s="14"/>
      <c r="AN577" s="14"/>
      <c r="AO577" s="14"/>
      <c r="AP577" s="14"/>
      <c r="AQ577" s="14"/>
      <c r="AR577" s="14"/>
      <c r="AS577" s="14"/>
      <c r="AT577" s="14"/>
      <c r="AU577" s="25"/>
      <c r="AV577" s="25">
        <v>7053862</v>
      </c>
      <c r="AW577" s="25"/>
      <c r="AX577" s="25">
        <v>7053862</v>
      </c>
      <c r="AY577" s="25"/>
      <c r="AZ577" s="25">
        <v>6732560</v>
      </c>
      <c r="BA577" s="17"/>
      <c r="BB577" s="17"/>
      <c r="BC577" s="18">
        <f t="shared" si="259"/>
        <v>0</v>
      </c>
      <c r="BD577" s="18">
        <f t="shared" si="260"/>
        <v>20840284</v>
      </c>
      <c r="BE577" s="19">
        <f t="shared" si="261"/>
        <v>-20840284</v>
      </c>
      <c r="BF577" s="20">
        <f t="shared" si="262"/>
        <v>64010920</v>
      </c>
      <c r="BG577" s="20">
        <f t="shared" si="263"/>
        <v>43170636</v>
      </c>
    </row>
    <row r="578" spans="1:59" ht="14.25" customHeight="1">
      <c r="A578" s="147" t="s">
        <v>1311</v>
      </c>
      <c r="B578" s="147" t="s">
        <v>1057</v>
      </c>
      <c r="C578" s="151" t="s">
        <v>733</v>
      </c>
      <c r="D578" s="151" t="s">
        <v>62</v>
      </c>
      <c r="E578" s="151">
        <v>48</v>
      </c>
      <c r="F578" s="149" t="s">
        <v>1528</v>
      </c>
      <c r="G578" s="147" t="s">
        <v>733</v>
      </c>
      <c r="H578" s="147" t="s">
        <v>733</v>
      </c>
      <c r="I578" s="147" t="s">
        <v>733</v>
      </c>
      <c r="J578" s="164">
        <v>81101516</v>
      </c>
      <c r="K578" s="168" t="s">
        <v>1416</v>
      </c>
      <c r="L578" s="168" t="s">
        <v>248</v>
      </c>
      <c r="M578" s="168" t="s">
        <v>1529</v>
      </c>
      <c r="N578" s="168" t="s">
        <v>127</v>
      </c>
      <c r="O578" s="168" t="s">
        <v>343</v>
      </c>
      <c r="P578" s="168" t="s">
        <v>344</v>
      </c>
      <c r="Q578" s="147">
        <v>5</v>
      </c>
      <c r="R578" s="168" t="s">
        <v>72</v>
      </c>
      <c r="S578" s="168" t="s">
        <v>478</v>
      </c>
      <c r="T578" s="168" t="s">
        <v>74</v>
      </c>
      <c r="U578" s="148">
        <v>17557199</v>
      </c>
      <c r="V578" s="148">
        <v>17557199</v>
      </c>
      <c r="W578" s="168" t="s">
        <v>75</v>
      </c>
      <c r="X578" s="168" t="s">
        <v>67</v>
      </c>
      <c r="Y578" s="168" t="s">
        <v>1064</v>
      </c>
      <c r="Z578" s="168" t="s">
        <v>1065</v>
      </c>
      <c r="AA578" s="147">
        <v>6012220601</v>
      </c>
      <c r="AB578" s="205" t="s">
        <v>1066</v>
      </c>
      <c r="AC578" s="14"/>
      <c r="AD578" s="14"/>
      <c r="AE578" s="14"/>
      <c r="AF578" s="14"/>
      <c r="AG578" s="14"/>
      <c r="AH578" s="14"/>
      <c r="AI578" s="14"/>
      <c r="AJ578" s="14"/>
      <c r="AK578" s="14"/>
      <c r="AL578" s="14"/>
      <c r="AM578" s="14"/>
      <c r="AN578" s="14"/>
      <c r="AO578" s="14"/>
      <c r="AP578" s="14"/>
      <c r="AQ578" s="14"/>
      <c r="AR578" s="14"/>
      <c r="AS578" s="14"/>
      <c r="AT578" s="14"/>
      <c r="AU578" s="25"/>
      <c r="AV578" s="25">
        <v>187646860</v>
      </c>
      <c r="AW578" s="25"/>
      <c r="AX578" s="25"/>
      <c r="AY578" s="25"/>
      <c r="AZ578" s="25">
        <v>140735144</v>
      </c>
      <c r="BA578" s="17"/>
      <c r="BB578" s="17"/>
      <c r="BC578" s="18">
        <f t="shared" si="259"/>
        <v>0</v>
      </c>
      <c r="BD578" s="18">
        <f t="shared" si="260"/>
        <v>328382004</v>
      </c>
      <c r="BE578" s="19">
        <f t="shared" si="261"/>
        <v>-328382004</v>
      </c>
      <c r="BF578" s="20">
        <f t="shared" si="262"/>
        <v>17557199</v>
      </c>
      <c r="BG578" s="20">
        <f t="shared" si="263"/>
        <v>-310824805</v>
      </c>
    </row>
    <row r="579" spans="1:59" ht="14.25" customHeight="1">
      <c r="A579" s="147" t="s">
        <v>1311</v>
      </c>
      <c r="B579" s="147" t="s">
        <v>1057</v>
      </c>
      <c r="C579" s="151" t="s">
        <v>733</v>
      </c>
      <c r="D579" s="151" t="s">
        <v>62</v>
      </c>
      <c r="E579" s="151">
        <v>42</v>
      </c>
      <c r="F579" s="149" t="s">
        <v>1530</v>
      </c>
      <c r="G579" s="147" t="s">
        <v>733</v>
      </c>
      <c r="H579" s="147" t="s">
        <v>733</v>
      </c>
      <c r="I579" s="147" t="s">
        <v>733</v>
      </c>
      <c r="J579" s="164">
        <v>80111620</v>
      </c>
      <c r="K579" s="168" t="s">
        <v>1531</v>
      </c>
      <c r="L579" s="168" t="s">
        <v>83</v>
      </c>
      <c r="M579" s="168" t="s">
        <v>1532</v>
      </c>
      <c r="N579" s="168" t="s">
        <v>91</v>
      </c>
      <c r="O579" s="168" t="s">
        <v>91</v>
      </c>
      <c r="P579" s="168" t="s">
        <v>91</v>
      </c>
      <c r="Q579" s="147">
        <v>11.5</v>
      </c>
      <c r="R579" s="168" t="s">
        <v>72</v>
      </c>
      <c r="S579" s="168" t="s">
        <v>73</v>
      </c>
      <c r="T579" s="168" t="s">
        <v>74</v>
      </c>
      <c r="U579" s="148">
        <v>105000000</v>
      </c>
      <c r="V579" s="148">
        <v>105000000</v>
      </c>
      <c r="W579" s="168" t="s">
        <v>75</v>
      </c>
      <c r="X579" s="168" t="s">
        <v>67</v>
      </c>
      <c r="Y579" s="168" t="s">
        <v>1064</v>
      </c>
      <c r="Z579" s="168" t="s">
        <v>1065</v>
      </c>
      <c r="AA579" s="147">
        <v>6012220601</v>
      </c>
      <c r="AB579" s="205" t="s">
        <v>1066</v>
      </c>
      <c r="AC579" s="14"/>
      <c r="AD579" s="14"/>
      <c r="AE579" s="14"/>
      <c r="AF579" s="14"/>
      <c r="AG579" s="14"/>
      <c r="AH579" s="14"/>
      <c r="AI579" s="14"/>
      <c r="AJ579" s="14"/>
      <c r="AK579" s="14"/>
      <c r="AL579" s="14"/>
      <c r="AM579" s="14"/>
      <c r="AN579" s="14"/>
      <c r="AO579" s="14"/>
      <c r="AP579" s="14"/>
      <c r="AQ579" s="14"/>
      <c r="AR579" s="14"/>
      <c r="AS579" s="14"/>
      <c r="AT579" s="14"/>
      <c r="AU579" s="25"/>
      <c r="AV579" s="25">
        <v>9000000</v>
      </c>
      <c r="AW579" s="25"/>
      <c r="AX579" s="25">
        <v>9000000</v>
      </c>
      <c r="AY579" s="25"/>
      <c r="AZ579" s="25">
        <v>18000000</v>
      </c>
      <c r="BA579" s="17"/>
      <c r="BB579" s="17"/>
      <c r="BC579" s="18">
        <f t="shared" si="259"/>
        <v>0</v>
      </c>
      <c r="BD579" s="18">
        <f t="shared" si="260"/>
        <v>36000000</v>
      </c>
      <c r="BE579" s="19">
        <f t="shared" si="261"/>
        <v>-36000000</v>
      </c>
      <c r="BF579" s="20">
        <f t="shared" si="262"/>
        <v>105000000</v>
      </c>
      <c r="BG579" s="20">
        <f t="shared" si="263"/>
        <v>69000000</v>
      </c>
    </row>
    <row r="580" spans="1:59" ht="14.25" customHeight="1">
      <c r="A580" s="147" t="s">
        <v>1311</v>
      </c>
      <c r="B580" s="147" t="s">
        <v>1057</v>
      </c>
      <c r="C580" s="151" t="s">
        <v>733</v>
      </c>
      <c r="D580" s="151" t="s">
        <v>62</v>
      </c>
      <c r="E580" s="151">
        <v>42</v>
      </c>
      <c r="F580" s="149" t="s">
        <v>1533</v>
      </c>
      <c r="G580" s="147" t="s">
        <v>733</v>
      </c>
      <c r="H580" s="147" t="s">
        <v>733</v>
      </c>
      <c r="I580" s="147" t="s">
        <v>733</v>
      </c>
      <c r="J580" s="164">
        <v>80111620</v>
      </c>
      <c r="K580" s="168" t="s">
        <v>1531</v>
      </c>
      <c r="L580" s="168" t="s">
        <v>83</v>
      </c>
      <c r="M580" s="168" t="s">
        <v>1534</v>
      </c>
      <c r="N580" s="168" t="s">
        <v>91</v>
      </c>
      <c r="O580" s="168" t="s">
        <v>91</v>
      </c>
      <c r="P580" s="168" t="s">
        <v>85</v>
      </c>
      <c r="Q580" s="147">
        <v>11</v>
      </c>
      <c r="R580" s="168" t="s">
        <v>72</v>
      </c>
      <c r="S580" s="168" t="s">
        <v>73</v>
      </c>
      <c r="T580" s="168" t="s">
        <v>74</v>
      </c>
      <c r="U580" s="148">
        <v>74308500</v>
      </c>
      <c r="V580" s="148">
        <v>74308500</v>
      </c>
      <c r="W580" s="168" t="s">
        <v>75</v>
      </c>
      <c r="X580" s="168" t="s">
        <v>67</v>
      </c>
      <c r="Y580" s="168" t="s">
        <v>1064</v>
      </c>
      <c r="Z580" s="168" t="s">
        <v>1065</v>
      </c>
      <c r="AA580" s="147">
        <v>6012220601</v>
      </c>
      <c r="AB580" s="205" t="s">
        <v>1066</v>
      </c>
      <c r="AC580" s="14">
        <v>72765000</v>
      </c>
      <c r="AD580" s="14"/>
      <c r="AE580" s="14"/>
      <c r="AF580" s="14"/>
      <c r="AG580" s="14"/>
      <c r="AH580" s="14"/>
      <c r="AI580" s="14"/>
      <c r="AJ580" s="14"/>
      <c r="AK580" s="14"/>
      <c r="AL580" s="14"/>
      <c r="AM580" s="14"/>
      <c r="AN580" s="14"/>
      <c r="AO580" s="14"/>
      <c r="AP580" s="14"/>
      <c r="AQ580" s="14"/>
      <c r="AR580" s="14"/>
      <c r="AS580" s="14"/>
      <c r="AT580" s="14"/>
      <c r="AU580" s="25"/>
      <c r="AV580" s="25">
        <v>6615000</v>
      </c>
      <c r="AW580" s="25"/>
      <c r="AX580" s="25">
        <v>6615000</v>
      </c>
      <c r="AY580" s="25"/>
      <c r="AZ580" s="25">
        <v>13230000</v>
      </c>
      <c r="BA580" s="17"/>
      <c r="BB580" s="17"/>
      <c r="BC580" s="18">
        <f t="shared" si="259"/>
        <v>72765000</v>
      </c>
      <c r="BD580" s="18">
        <f t="shared" si="260"/>
        <v>26460000</v>
      </c>
      <c r="BE580" s="19">
        <f t="shared" si="261"/>
        <v>46305000</v>
      </c>
      <c r="BF580" s="20">
        <f t="shared" si="262"/>
        <v>1543500</v>
      </c>
      <c r="BG580" s="20">
        <f t="shared" si="263"/>
        <v>47848500</v>
      </c>
    </row>
    <row r="581" spans="1:59" ht="14.25" customHeight="1">
      <c r="A581" s="147" t="s">
        <v>1311</v>
      </c>
      <c r="B581" s="147" t="s">
        <v>1057</v>
      </c>
      <c r="C581" s="151" t="s">
        <v>733</v>
      </c>
      <c r="D581" s="151" t="s">
        <v>62</v>
      </c>
      <c r="E581" s="151" t="s">
        <v>114</v>
      </c>
      <c r="F581" s="149" t="s">
        <v>1535</v>
      </c>
      <c r="G581" s="147" t="s">
        <v>733</v>
      </c>
      <c r="H581" s="147" t="s">
        <v>733</v>
      </c>
      <c r="I581" s="147" t="s">
        <v>733</v>
      </c>
      <c r="J581" s="164">
        <v>80111620</v>
      </c>
      <c r="K581" s="168" t="s">
        <v>1531</v>
      </c>
      <c r="L581" s="168" t="s">
        <v>83</v>
      </c>
      <c r="M581" s="168" t="s">
        <v>1536</v>
      </c>
      <c r="N581" s="168" t="s">
        <v>91</v>
      </c>
      <c r="O581" s="168" t="s">
        <v>91</v>
      </c>
      <c r="P581" s="168" t="s">
        <v>85</v>
      </c>
      <c r="Q581" s="147">
        <v>11</v>
      </c>
      <c r="R581" s="168" t="s">
        <v>72</v>
      </c>
      <c r="S581" s="168" t="s">
        <v>73</v>
      </c>
      <c r="T581" s="168" t="s">
        <v>74</v>
      </c>
      <c r="U581" s="148">
        <v>101200000</v>
      </c>
      <c r="V581" s="148">
        <v>101200000</v>
      </c>
      <c r="W581" s="168" t="s">
        <v>75</v>
      </c>
      <c r="X581" s="168" t="s">
        <v>67</v>
      </c>
      <c r="Y581" s="168" t="s">
        <v>1064</v>
      </c>
      <c r="Z581" s="168" t="s">
        <v>1065</v>
      </c>
      <c r="AA581" s="147">
        <v>6012220601</v>
      </c>
      <c r="AB581" s="205" t="s">
        <v>1066</v>
      </c>
      <c r="AC581" s="14"/>
      <c r="AD581" s="14"/>
      <c r="AE581" s="14"/>
      <c r="AF581" s="14"/>
      <c r="AG581" s="14"/>
      <c r="AH581" s="14"/>
      <c r="AI581" s="14"/>
      <c r="AJ581" s="14"/>
      <c r="AK581" s="14"/>
      <c r="AL581" s="14"/>
      <c r="AM581" s="14"/>
      <c r="AN581" s="14"/>
      <c r="AO581" s="14"/>
      <c r="AP581" s="14"/>
      <c r="AQ581" s="14"/>
      <c r="AR581" s="14"/>
      <c r="AS581" s="14"/>
      <c r="AT581" s="14"/>
      <c r="AU581" s="25"/>
      <c r="AV581" s="25">
        <v>9200000</v>
      </c>
      <c r="AW581" s="25"/>
      <c r="AX581" s="25">
        <v>9200000</v>
      </c>
      <c r="AY581" s="25"/>
      <c r="AZ581" s="25">
        <v>18400000</v>
      </c>
      <c r="BA581" s="17"/>
      <c r="BB581" s="17"/>
      <c r="BC581" s="18">
        <f t="shared" si="259"/>
        <v>0</v>
      </c>
      <c r="BD581" s="18">
        <f t="shared" si="260"/>
        <v>36800000</v>
      </c>
      <c r="BE581" s="19">
        <f t="shared" si="261"/>
        <v>-36800000</v>
      </c>
      <c r="BF581" s="20">
        <f t="shared" si="262"/>
        <v>101200000</v>
      </c>
      <c r="BG581" s="20">
        <f t="shared" si="263"/>
        <v>64400000</v>
      </c>
    </row>
    <row r="582" spans="1:59" ht="14.25" customHeight="1">
      <c r="A582" s="147" t="s">
        <v>1311</v>
      </c>
      <c r="B582" s="147" t="s">
        <v>1057</v>
      </c>
      <c r="C582" s="151" t="s">
        <v>733</v>
      </c>
      <c r="D582" s="151" t="s">
        <v>62</v>
      </c>
      <c r="E582" s="151">
        <v>5</v>
      </c>
      <c r="F582" s="149" t="s">
        <v>1537</v>
      </c>
      <c r="G582" s="147" t="s">
        <v>733</v>
      </c>
      <c r="H582" s="147" t="s">
        <v>733</v>
      </c>
      <c r="I582" s="147" t="s">
        <v>733</v>
      </c>
      <c r="J582" s="164">
        <v>80111620</v>
      </c>
      <c r="K582" s="168" t="s">
        <v>1531</v>
      </c>
      <c r="L582" s="168" t="s">
        <v>83</v>
      </c>
      <c r="M582" s="168" t="s">
        <v>1538</v>
      </c>
      <c r="N582" s="168" t="s">
        <v>85</v>
      </c>
      <c r="O582" s="168" t="s">
        <v>85</v>
      </c>
      <c r="P582" s="168" t="s">
        <v>85</v>
      </c>
      <c r="Q582" s="147">
        <v>11</v>
      </c>
      <c r="R582" s="168" t="s">
        <v>72</v>
      </c>
      <c r="S582" s="168" t="s">
        <v>73</v>
      </c>
      <c r="T582" s="168" t="s">
        <v>74</v>
      </c>
      <c r="U582" s="148">
        <v>111002815</v>
      </c>
      <c r="V582" s="148">
        <v>111002815</v>
      </c>
      <c r="W582" s="168" t="s">
        <v>75</v>
      </c>
      <c r="X582" s="168" t="s">
        <v>67</v>
      </c>
      <c r="Y582" s="168" t="s">
        <v>1064</v>
      </c>
      <c r="Z582" s="168" t="s">
        <v>1065</v>
      </c>
      <c r="AA582" s="147">
        <v>6012220601</v>
      </c>
      <c r="AB582" s="205" t="s">
        <v>1066</v>
      </c>
      <c r="AC582" s="14"/>
      <c r="AD582" s="14"/>
      <c r="AE582" s="14"/>
      <c r="AF582" s="14"/>
      <c r="AG582" s="14"/>
      <c r="AH582" s="14"/>
      <c r="AI582" s="14"/>
      <c r="AJ582" s="14"/>
      <c r="AK582" s="14"/>
      <c r="AL582" s="14"/>
      <c r="AM582" s="14"/>
      <c r="AN582" s="14"/>
      <c r="AO582" s="14"/>
      <c r="AP582" s="14"/>
      <c r="AQ582" s="14"/>
      <c r="AR582" s="14"/>
      <c r="AS582" s="14"/>
      <c r="AT582" s="14"/>
      <c r="AU582" s="15"/>
      <c r="AV582" s="15">
        <v>9677850</v>
      </c>
      <c r="AW582" s="15"/>
      <c r="AX582" s="15">
        <v>9677850</v>
      </c>
      <c r="AY582" s="15"/>
      <c r="AZ582" s="15">
        <v>23902165</v>
      </c>
      <c r="BA582" s="17"/>
      <c r="BB582" s="17"/>
      <c r="BC582" s="18">
        <f t="shared" si="259"/>
        <v>0</v>
      </c>
      <c r="BD582" s="18">
        <f t="shared" si="260"/>
        <v>43257865</v>
      </c>
      <c r="BE582" s="19">
        <f t="shared" si="261"/>
        <v>-43257865</v>
      </c>
      <c r="BF582" s="20">
        <f t="shared" si="262"/>
        <v>111002815</v>
      </c>
      <c r="BG582" s="20">
        <f t="shared" si="263"/>
        <v>67744950</v>
      </c>
    </row>
    <row r="583" spans="1:59" ht="14.25" customHeight="1">
      <c r="A583" s="147" t="s">
        <v>1311</v>
      </c>
      <c r="B583" s="147" t="s">
        <v>1057</v>
      </c>
      <c r="C583" s="151" t="s">
        <v>733</v>
      </c>
      <c r="D583" s="151" t="s">
        <v>62</v>
      </c>
      <c r="E583" s="151">
        <v>42</v>
      </c>
      <c r="F583" s="149" t="s">
        <v>1539</v>
      </c>
      <c r="G583" s="147" t="s">
        <v>733</v>
      </c>
      <c r="H583" s="147" t="s">
        <v>733</v>
      </c>
      <c r="I583" s="147" t="s">
        <v>733</v>
      </c>
      <c r="J583" s="164">
        <v>80111620</v>
      </c>
      <c r="K583" s="168" t="s">
        <v>1531</v>
      </c>
      <c r="L583" s="168" t="s">
        <v>83</v>
      </c>
      <c r="M583" s="168" t="s">
        <v>1540</v>
      </c>
      <c r="N583" s="168" t="s">
        <v>91</v>
      </c>
      <c r="O583" s="168" t="s">
        <v>91</v>
      </c>
      <c r="P583" s="168" t="s">
        <v>91</v>
      </c>
      <c r="Q583" s="147">
        <v>11.5</v>
      </c>
      <c r="R583" s="168" t="s">
        <v>72</v>
      </c>
      <c r="S583" s="168" t="s">
        <v>73</v>
      </c>
      <c r="T583" s="168" t="s">
        <v>74</v>
      </c>
      <c r="U583" s="148">
        <v>57666667</v>
      </c>
      <c r="V583" s="148">
        <v>57666667</v>
      </c>
      <c r="W583" s="168" t="s">
        <v>75</v>
      </c>
      <c r="X583" s="168" t="s">
        <v>67</v>
      </c>
      <c r="Y583" s="168" t="s">
        <v>1064</v>
      </c>
      <c r="Z583" s="168" t="s">
        <v>1065</v>
      </c>
      <c r="AA583" s="147">
        <v>6012220601</v>
      </c>
      <c r="AB583" s="205" t="s">
        <v>1066</v>
      </c>
      <c r="AC583" s="14"/>
      <c r="AD583" s="14"/>
      <c r="AE583" s="14"/>
      <c r="AF583" s="14"/>
      <c r="AG583" s="14"/>
      <c r="AH583" s="14"/>
      <c r="AI583" s="14"/>
      <c r="AJ583" s="14"/>
      <c r="AK583" s="14"/>
      <c r="AL583" s="14"/>
      <c r="AM583" s="14"/>
      <c r="AN583" s="14"/>
      <c r="AO583" s="14"/>
      <c r="AP583" s="14"/>
      <c r="AQ583" s="14"/>
      <c r="AR583" s="14"/>
      <c r="AS583" s="14"/>
      <c r="AT583" s="14"/>
      <c r="AU583" s="25"/>
      <c r="AV583" s="25">
        <v>5000000</v>
      </c>
      <c r="AW583" s="25"/>
      <c r="AX583" s="25">
        <v>5000000</v>
      </c>
      <c r="AY583" s="25"/>
      <c r="AZ583" s="25">
        <v>10000000</v>
      </c>
      <c r="BA583" s="17"/>
      <c r="BB583" s="17"/>
      <c r="BC583" s="18">
        <f t="shared" si="259"/>
        <v>0</v>
      </c>
      <c r="BD583" s="18">
        <f t="shared" si="260"/>
        <v>20000000</v>
      </c>
      <c r="BE583" s="19">
        <f t="shared" si="261"/>
        <v>-20000000</v>
      </c>
      <c r="BF583" s="20">
        <f t="shared" si="262"/>
        <v>57666667</v>
      </c>
      <c r="BG583" s="20">
        <f t="shared" si="263"/>
        <v>37666667</v>
      </c>
    </row>
    <row r="584" spans="1:59" ht="14.25" customHeight="1">
      <c r="A584" s="147" t="s">
        <v>1311</v>
      </c>
      <c r="B584" s="147" t="s">
        <v>1057</v>
      </c>
      <c r="C584" s="151" t="s">
        <v>733</v>
      </c>
      <c r="D584" s="151" t="s">
        <v>62</v>
      </c>
      <c r="E584" s="151">
        <v>44</v>
      </c>
      <c r="F584" s="149" t="s">
        <v>1541</v>
      </c>
      <c r="G584" s="147" t="s">
        <v>733</v>
      </c>
      <c r="H584" s="147" t="s">
        <v>733</v>
      </c>
      <c r="I584" s="147" t="s">
        <v>733</v>
      </c>
      <c r="J584" s="164">
        <v>80111620</v>
      </c>
      <c r="K584" s="168" t="s">
        <v>1416</v>
      </c>
      <c r="L584" s="168" t="s">
        <v>83</v>
      </c>
      <c r="M584" s="168" t="s">
        <v>1542</v>
      </c>
      <c r="N584" s="168" t="s">
        <v>91</v>
      </c>
      <c r="O584" s="168" t="s">
        <v>91</v>
      </c>
      <c r="P584" s="168" t="s">
        <v>91</v>
      </c>
      <c r="Q584" s="147">
        <v>11</v>
      </c>
      <c r="R584" s="168" t="s">
        <v>72</v>
      </c>
      <c r="S584" s="168" t="s">
        <v>73</v>
      </c>
      <c r="T584" s="168" t="s">
        <v>74</v>
      </c>
      <c r="U584" s="148">
        <v>65121334</v>
      </c>
      <c r="V584" s="148">
        <v>65121334</v>
      </c>
      <c r="W584" s="168" t="s">
        <v>75</v>
      </c>
      <c r="X584" s="168" t="s">
        <v>67</v>
      </c>
      <c r="Y584" s="168" t="s">
        <v>1064</v>
      </c>
      <c r="Z584" s="168" t="s">
        <v>1065</v>
      </c>
      <c r="AA584" s="147">
        <v>6012220601</v>
      </c>
      <c r="AB584" s="205" t="s">
        <v>1066</v>
      </c>
      <c r="AC584" s="14"/>
      <c r="AD584" s="14"/>
      <c r="AE584" s="14"/>
      <c r="AF584" s="14"/>
      <c r="AG584" s="14"/>
      <c r="AH584" s="14"/>
      <c r="AI584" s="14"/>
      <c r="AJ584" s="14"/>
      <c r="AK584" s="14"/>
      <c r="AL584" s="14"/>
      <c r="AM584" s="14"/>
      <c r="AN584" s="14"/>
      <c r="AO584" s="14"/>
      <c r="AP584" s="14"/>
      <c r="AQ584" s="14"/>
      <c r="AR584" s="14"/>
      <c r="AS584" s="14"/>
      <c r="AT584" s="14"/>
      <c r="AU584" s="25"/>
      <c r="AV584" s="25">
        <v>5416950</v>
      </c>
      <c r="AW584" s="25"/>
      <c r="AX584" s="25">
        <v>5416950</v>
      </c>
      <c r="AY584" s="25"/>
      <c r="AZ584" s="25">
        <v>8125425</v>
      </c>
      <c r="BA584" s="17"/>
      <c r="BB584" s="17"/>
      <c r="BC584" s="18">
        <f t="shared" si="259"/>
        <v>0</v>
      </c>
      <c r="BD584" s="18">
        <f t="shared" si="260"/>
        <v>18959325</v>
      </c>
      <c r="BE584" s="19">
        <f t="shared" si="261"/>
        <v>-18959325</v>
      </c>
      <c r="BF584" s="20">
        <f t="shared" si="262"/>
        <v>65121334</v>
      </c>
      <c r="BG584" s="20">
        <f t="shared" si="263"/>
        <v>46162009</v>
      </c>
    </row>
    <row r="585" spans="1:59" ht="14.25" customHeight="1">
      <c r="A585" s="147" t="s">
        <v>1311</v>
      </c>
      <c r="B585" s="147" t="s">
        <v>1057</v>
      </c>
      <c r="C585" s="151" t="s">
        <v>733</v>
      </c>
      <c r="D585" s="151" t="s">
        <v>62</v>
      </c>
      <c r="E585" s="151">
        <v>41</v>
      </c>
      <c r="F585" s="149" t="s">
        <v>1543</v>
      </c>
      <c r="G585" s="147" t="s">
        <v>733</v>
      </c>
      <c r="H585" s="147" t="s">
        <v>733</v>
      </c>
      <c r="I585" s="147" t="s">
        <v>733</v>
      </c>
      <c r="J585" s="164">
        <v>80111620</v>
      </c>
      <c r="K585" s="168" t="s">
        <v>1416</v>
      </c>
      <c r="L585" s="168" t="s">
        <v>83</v>
      </c>
      <c r="M585" s="168" t="s">
        <v>1544</v>
      </c>
      <c r="N585" s="168" t="s">
        <v>91</v>
      </c>
      <c r="O585" s="168" t="s">
        <v>91</v>
      </c>
      <c r="P585" s="168" t="s">
        <v>91</v>
      </c>
      <c r="Q585" s="147">
        <v>11.5</v>
      </c>
      <c r="R585" s="168" t="s">
        <v>72</v>
      </c>
      <c r="S585" s="168" t="s">
        <v>73</v>
      </c>
      <c r="T585" s="168" t="s">
        <v>74</v>
      </c>
      <c r="U585" s="148">
        <v>111466667</v>
      </c>
      <c r="V585" s="148">
        <v>111466667</v>
      </c>
      <c r="W585" s="168" t="s">
        <v>75</v>
      </c>
      <c r="X585" s="168" t="s">
        <v>67</v>
      </c>
      <c r="Y585" s="168" t="s">
        <v>1064</v>
      </c>
      <c r="Z585" s="168" t="s">
        <v>1065</v>
      </c>
      <c r="AA585" s="147">
        <v>6012220601</v>
      </c>
      <c r="AB585" s="205" t="s">
        <v>1066</v>
      </c>
      <c r="AC585" s="14"/>
      <c r="AD585" s="14"/>
      <c r="AE585" s="14"/>
      <c r="AF585" s="14"/>
      <c r="AG585" s="14"/>
      <c r="AH585" s="14"/>
      <c r="AI585" s="14"/>
      <c r="AJ585" s="14"/>
      <c r="AK585" s="14"/>
      <c r="AL585" s="14"/>
      <c r="AM585" s="14"/>
      <c r="AN585" s="14"/>
      <c r="AO585" s="14"/>
      <c r="AP585" s="14"/>
      <c r="AQ585" s="14"/>
      <c r="AR585" s="14"/>
      <c r="AS585" s="14"/>
      <c r="AT585" s="14"/>
      <c r="AU585" s="25"/>
      <c r="AV585" s="25">
        <v>9500000</v>
      </c>
      <c r="AW585" s="25"/>
      <c r="AX585" s="25">
        <v>9500000</v>
      </c>
      <c r="AY585" s="25"/>
      <c r="AZ585" s="25">
        <v>19000000</v>
      </c>
      <c r="BA585" s="17"/>
      <c r="BB585" s="17"/>
      <c r="BC585" s="18">
        <f t="shared" si="259"/>
        <v>0</v>
      </c>
      <c r="BD585" s="18">
        <f t="shared" si="260"/>
        <v>38000000</v>
      </c>
      <c r="BE585" s="19">
        <f t="shared" si="261"/>
        <v>-38000000</v>
      </c>
      <c r="BF585" s="20">
        <f t="shared" si="262"/>
        <v>111466667</v>
      </c>
      <c r="BG585" s="20">
        <f t="shared" si="263"/>
        <v>73466667</v>
      </c>
    </row>
    <row r="586" spans="1:59" ht="14.25" customHeight="1">
      <c r="A586" s="147" t="s">
        <v>1311</v>
      </c>
      <c r="B586" s="147" t="s">
        <v>1057</v>
      </c>
      <c r="C586" s="151" t="s">
        <v>733</v>
      </c>
      <c r="D586" s="151" t="s">
        <v>62</v>
      </c>
      <c r="E586" s="151">
        <v>41</v>
      </c>
      <c r="F586" s="149" t="s">
        <v>1545</v>
      </c>
      <c r="G586" s="147" t="s">
        <v>733</v>
      </c>
      <c r="H586" s="147" t="s">
        <v>733</v>
      </c>
      <c r="I586" s="147" t="s">
        <v>733</v>
      </c>
      <c r="J586" s="164">
        <v>80111620</v>
      </c>
      <c r="K586" s="168" t="s">
        <v>1416</v>
      </c>
      <c r="L586" s="168" t="s">
        <v>83</v>
      </c>
      <c r="M586" s="168" t="s">
        <v>1546</v>
      </c>
      <c r="N586" s="168" t="s">
        <v>85</v>
      </c>
      <c r="O586" s="168" t="s">
        <v>85</v>
      </c>
      <c r="P586" s="168" t="s">
        <v>85</v>
      </c>
      <c r="Q586" s="147">
        <v>10</v>
      </c>
      <c r="R586" s="168" t="s">
        <v>72</v>
      </c>
      <c r="S586" s="168" t="s">
        <v>73</v>
      </c>
      <c r="T586" s="168" t="s">
        <v>74</v>
      </c>
      <c r="U586" s="148">
        <v>59350000</v>
      </c>
      <c r="V586" s="148">
        <v>59350000</v>
      </c>
      <c r="W586" s="168" t="s">
        <v>75</v>
      </c>
      <c r="X586" s="168" t="s">
        <v>67</v>
      </c>
      <c r="Y586" s="168" t="s">
        <v>1064</v>
      </c>
      <c r="Z586" s="168" t="s">
        <v>1065</v>
      </c>
      <c r="AA586" s="147">
        <v>6012220601</v>
      </c>
      <c r="AB586" s="205" t="s">
        <v>1066</v>
      </c>
      <c r="AC586" s="14"/>
      <c r="AD586" s="14"/>
      <c r="AE586" s="14"/>
      <c r="AF586" s="14"/>
      <c r="AG586" s="14"/>
      <c r="AH586" s="14"/>
      <c r="AI586" s="14"/>
      <c r="AJ586" s="14"/>
      <c r="AK586" s="14"/>
      <c r="AL586" s="14"/>
      <c r="AM586" s="14"/>
      <c r="AN586" s="14"/>
      <c r="AO586" s="14"/>
      <c r="AP586" s="14"/>
      <c r="AQ586" s="14"/>
      <c r="AR586" s="14"/>
      <c r="AS586" s="14"/>
      <c r="AT586" s="14"/>
      <c r="AU586" s="25"/>
      <c r="AV586" s="25">
        <v>5000000</v>
      </c>
      <c r="AW586" s="25"/>
      <c r="AX586" s="25">
        <v>5000000</v>
      </c>
      <c r="AY586" s="25"/>
      <c r="AZ586" s="25">
        <v>5000000</v>
      </c>
      <c r="BA586" s="17"/>
      <c r="BB586" s="17"/>
      <c r="BC586" s="18">
        <f t="shared" si="259"/>
        <v>0</v>
      </c>
      <c r="BD586" s="18">
        <f t="shared" si="260"/>
        <v>15000000</v>
      </c>
      <c r="BE586" s="19">
        <f t="shared" si="261"/>
        <v>-15000000</v>
      </c>
      <c r="BF586" s="20">
        <f t="shared" si="262"/>
        <v>59350000</v>
      </c>
      <c r="BG586" s="20">
        <f t="shared" si="263"/>
        <v>44350000</v>
      </c>
    </row>
    <row r="587" spans="1:59" ht="14.25" customHeight="1">
      <c r="A587" s="147" t="s">
        <v>1311</v>
      </c>
      <c r="B587" s="147" t="s">
        <v>1057</v>
      </c>
      <c r="C587" s="151" t="s">
        <v>733</v>
      </c>
      <c r="D587" s="151" t="s">
        <v>62</v>
      </c>
      <c r="E587" s="151" t="s">
        <v>114</v>
      </c>
      <c r="F587" s="149" t="s">
        <v>1547</v>
      </c>
      <c r="G587" s="147" t="s">
        <v>733</v>
      </c>
      <c r="H587" s="147" t="s">
        <v>733</v>
      </c>
      <c r="I587" s="147" t="s">
        <v>733</v>
      </c>
      <c r="J587" s="164">
        <v>80111620</v>
      </c>
      <c r="K587" s="168" t="s">
        <v>1531</v>
      </c>
      <c r="L587" s="168" t="s">
        <v>83</v>
      </c>
      <c r="M587" s="168" t="s">
        <v>1548</v>
      </c>
      <c r="N587" s="168" t="s">
        <v>85</v>
      </c>
      <c r="O587" s="168" t="s">
        <v>85</v>
      </c>
      <c r="P587" s="168" t="s">
        <v>85</v>
      </c>
      <c r="Q587" s="147">
        <v>10</v>
      </c>
      <c r="R587" s="168" t="s">
        <v>72</v>
      </c>
      <c r="S587" s="168" t="s">
        <v>73</v>
      </c>
      <c r="T587" s="168" t="s">
        <v>74</v>
      </c>
      <c r="U587" s="148">
        <v>50000000</v>
      </c>
      <c r="V587" s="148">
        <v>50000000</v>
      </c>
      <c r="W587" s="168" t="s">
        <v>75</v>
      </c>
      <c r="X587" s="168" t="s">
        <v>67</v>
      </c>
      <c r="Y587" s="168" t="s">
        <v>1064</v>
      </c>
      <c r="Z587" s="168" t="s">
        <v>1065</v>
      </c>
      <c r="AA587" s="147">
        <v>6012220601</v>
      </c>
      <c r="AB587" s="205" t="s">
        <v>1066</v>
      </c>
      <c r="AC587" s="14"/>
      <c r="AD587" s="14"/>
      <c r="AE587" s="14"/>
      <c r="AF587" s="14"/>
      <c r="AG587" s="14"/>
      <c r="AH587" s="14"/>
      <c r="AI587" s="14"/>
      <c r="AJ587" s="14"/>
      <c r="AK587" s="14"/>
      <c r="AL587" s="14"/>
      <c r="AM587" s="14"/>
      <c r="AN587" s="14"/>
      <c r="AO587" s="14"/>
      <c r="AP587" s="14"/>
      <c r="AQ587" s="14"/>
      <c r="AR587" s="14"/>
      <c r="AS587" s="14"/>
      <c r="AT587" s="14"/>
      <c r="AU587" s="25"/>
      <c r="AV587" s="25">
        <v>5000000</v>
      </c>
      <c r="AW587" s="25"/>
      <c r="AX587" s="25">
        <v>5000000</v>
      </c>
      <c r="AY587" s="25"/>
      <c r="AZ587" s="25">
        <v>5000000</v>
      </c>
      <c r="BA587" s="17"/>
      <c r="BB587" s="17"/>
      <c r="BC587" s="18">
        <f t="shared" si="259"/>
        <v>0</v>
      </c>
      <c r="BD587" s="18">
        <f t="shared" si="260"/>
        <v>15000000</v>
      </c>
      <c r="BE587" s="19">
        <f t="shared" si="261"/>
        <v>-15000000</v>
      </c>
      <c r="BF587" s="20">
        <f t="shared" si="262"/>
        <v>50000000</v>
      </c>
      <c r="BG587" s="20">
        <f t="shared" si="263"/>
        <v>35000000</v>
      </c>
    </row>
    <row r="588" spans="1:59" ht="14.25" customHeight="1">
      <c r="A588" s="147" t="s">
        <v>1311</v>
      </c>
      <c r="B588" s="147" t="s">
        <v>1057</v>
      </c>
      <c r="C588" s="151" t="s">
        <v>733</v>
      </c>
      <c r="D588" s="151" t="s">
        <v>62</v>
      </c>
      <c r="E588" s="151" t="s">
        <v>114</v>
      </c>
      <c r="F588" s="149" t="s">
        <v>1549</v>
      </c>
      <c r="G588" s="147" t="s">
        <v>733</v>
      </c>
      <c r="H588" s="147" t="s">
        <v>733</v>
      </c>
      <c r="I588" s="147" t="s">
        <v>733</v>
      </c>
      <c r="J588" s="164">
        <v>80111620</v>
      </c>
      <c r="K588" s="168" t="s">
        <v>1531</v>
      </c>
      <c r="L588" s="168" t="s">
        <v>83</v>
      </c>
      <c r="M588" s="168" t="s">
        <v>1550</v>
      </c>
      <c r="N588" s="168" t="s">
        <v>85</v>
      </c>
      <c r="O588" s="168" t="s">
        <v>85</v>
      </c>
      <c r="P588" s="168" t="s">
        <v>85</v>
      </c>
      <c r="Q588" s="147">
        <v>10</v>
      </c>
      <c r="R588" s="168" t="s">
        <v>72</v>
      </c>
      <c r="S588" s="168" t="s">
        <v>73</v>
      </c>
      <c r="T588" s="168" t="s">
        <v>74</v>
      </c>
      <c r="U588" s="148">
        <v>85690000</v>
      </c>
      <c r="V588" s="148">
        <v>85690000</v>
      </c>
      <c r="W588" s="168" t="s">
        <v>75</v>
      </c>
      <c r="X588" s="168" t="s">
        <v>67</v>
      </c>
      <c r="Y588" s="168" t="s">
        <v>1064</v>
      </c>
      <c r="Z588" s="168" t="s">
        <v>1065</v>
      </c>
      <c r="AA588" s="147">
        <v>6012220601</v>
      </c>
      <c r="AB588" s="205" t="s">
        <v>1066</v>
      </c>
      <c r="AC588" s="14"/>
      <c r="AD588" s="14"/>
      <c r="AE588" s="14"/>
      <c r="AF588" s="14"/>
      <c r="AG588" s="14"/>
      <c r="AH588" s="14"/>
      <c r="AI588" s="14"/>
      <c r="AJ588" s="14"/>
      <c r="AK588" s="14"/>
      <c r="AL588" s="14"/>
      <c r="AM588" s="14"/>
      <c r="AN588" s="14"/>
      <c r="AO588" s="14"/>
      <c r="AP588" s="14"/>
      <c r="AQ588" s="14"/>
      <c r="AR588" s="14"/>
      <c r="AS588" s="14"/>
      <c r="AT588" s="14"/>
      <c r="AU588" s="25"/>
      <c r="AV588" s="25">
        <v>8569000</v>
      </c>
      <c r="AW588" s="25"/>
      <c r="AX588" s="25">
        <v>8569000</v>
      </c>
      <c r="AY588" s="25"/>
      <c r="AZ588" s="25">
        <v>8569000</v>
      </c>
      <c r="BA588" s="17"/>
      <c r="BB588" s="17"/>
      <c r="BC588" s="18">
        <f t="shared" si="259"/>
        <v>0</v>
      </c>
      <c r="BD588" s="18">
        <f t="shared" si="260"/>
        <v>25707000</v>
      </c>
      <c r="BE588" s="19">
        <f t="shared" si="261"/>
        <v>-25707000</v>
      </c>
      <c r="BF588" s="20">
        <f t="shared" si="262"/>
        <v>85690000</v>
      </c>
      <c r="BG588" s="20">
        <f t="shared" si="263"/>
        <v>59983000</v>
      </c>
    </row>
    <row r="589" spans="1:59" ht="14.25" customHeight="1">
      <c r="A589" s="147" t="s">
        <v>1311</v>
      </c>
      <c r="B589" s="147" t="s">
        <v>1057</v>
      </c>
      <c r="C589" s="151" t="s">
        <v>733</v>
      </c>
      <c r="D589" s="151" t="s">
        <v>62</v>
      </c>
      <c r="E589" s="151" t="s">
        <v>114</v>
      </c>
      <c r="F589" s="149" t="s">
        <v>1551</v>
      </c>
      <c r="G589" s="147" t="s">
        <v>733</v>
      </c>
      <c r="H589" s="147" t="s">
        <v>733</v>
      </c>
      <c r="I589" s="147" t="s">
        <v>733</v>
      </c>
      <c r="J589" s="164">
        <v>80111620</v>
      </c>
      <c r="K589" s="168" t="s">
        <v>1531</v>
      </c>
      <c r="L589" s="168" t="s">
        <v>83</v>
      </c>
      <c r="M589" s="168" t="s">
        <v>1552</v>
      </c>
      <c r="N589" s="168" t="s">
        <v>85</v>
      </c>
      <c r="O589" s="168" t="s">
        <v>85</v>
      </c>
      <c r="P589" s="168" t="s">
        <v>85</v>
      </c>
      <c r="Q589" s="147">
        <v>10</v>
      </c>
      <c r="R589" s="168" t="s">
        <v>72</v>
      </c>
      <c r="S589" s="168" t="s">
        <v>73</v>
      </c>
      <c r="T589" s="168" t="s">
        <v>74</v>
      </c>
      <c r="U589" s="148">
        <v>50000000</v>
      </c>
      <c r="V589" s="148">
        <v>50000000</v>
      </c>
      <c r="W589" s="168" t="s">
        <v>75</v>
      </c>
      <c r="X589" s="168" t="s">
        <v>67</v>
      </c>
      <c r="Y589" s="168" t="s">
        <v>1064</v>
      </c>
      <c r="Z589" s="168" t="s">
        <v>1065</v>
      </c>
      <c r="AA589" s="147">
        <v>6012220601</v>
      </c>
      <c r="AB589" s="205" t="s">
        <v>1066</v>
      </c>
      <c r="AC589" s="14"/>
      <c r="AD589" s="14"/>
      <c r="AE589" s="14"/>
      <c r="AF589" s="14"/>
      <c r="AG589" s="14"/>
      <c r="AH589" s="14"/>
      <c r="AI589" s="14"/>
      <c r="AJ589" s="14"/>
      <c r="AK589" s="14"/>
      <c r="AL589" s="14"/>
      <c r="AM589" s="14"/>
      <c r="AN589" s="14"/>
      <c r="AO589" s="14"/>
      <c r="AP589" s="14"/>
      <c r="AQ589" s="14"/>
      <c r="AR589" s="14"/>
      <c r="AS589" s="14"/>
      <c r="AT589" s="14"/>
      <c r="AU589" s="25"/>
      <c r="AV589" s="25">
        <v>5000000</v>
      </c>
      <c r="AW589" s="25"/>
      <c r="AX589" s="25">
        <v>5000000</v>
      </c>
      <c r="AY589" s="25"/>
      <c r="AZ589" s="25">
        <v>5000000</v>
      </c>
      <c r="BA589" s="17"/>
      <c r="BB589" s="17"/>
      <c r="BC589" s="18">
        <f t="shared" si="259"/>
        <v>0</v>
      </c>
      <c r="BD589" s="18">
        <f t="shared" si="260"/>
        <v>15000000</v>
      </c>
      <c r="BE589" s="19">
        <f t="shared" si="261"/>
        <v>-15000000</v>
      </c>
      <c r="BF589" s="20">
        <f t="shared" si="262"/>
        <v>50000000</v>
      </c>
      <c r="BG589" s="20">
        <f t="shared" si="263"/>
        <v>35000000</v>
      </c>
    </row>
    <row r="590" spans="1:59" ht="14.25" customHeight="1">
      <c r="A590" s="150" t="s">
        <v>1311</v>
      </c>
      <c r="B590" s="150" t="s">
        <v>1057</v>
      </c>
      <c r="C590" s="152" t="s">
        <v>733</v>
      </c>
      <c r="D590" s="152" t="s">
        <v>62</v>
      </c>
      <c r="E590" s="152" t="s">
        <v>114</v>
      </c>
      <c r="F590" s="150" t="s">
        <v>1553</v>
      </c>
      <c r="G590" s="150" t="s">
        <v>733</v>
      </c>
      <c r="H590" s="150" t="s">
        <v>733</v>
      </c>
      <c r="I590" s="150" t="s">
        <v>733</v>
      </c>
      <c r="J590" s="181">
        <v>80111620</v>
      </c>
      <c r="K590" s="206" t="s">
        <v>1416</v>
      </c>
      <c r="L590" s="206" t="s">
        <v>83</v>
      </c>
      <c r="M590" s="206" t="s">
        <v>1554</v>
      </c>
      <c r="N590" s="150" t="s">
        <v>91</v>
      </c>
      <c r="O590" s="150" t="s">
        <v>91</v>
      </c>
      <c r="P590" s="150" t="s">
        <v>91</v>
      </c>
      <c r="Q590" s="150">
        <v>11.5</v>
      </c>
      <c r="R590" s="206" t="s">
        <v>72</v>
      </c>
      <c r="S590" s="206" t="s">
        <v>73</v>
      </c>
      <c r="T590" s="206" t="s">
        <v>74</v>
      </c>
      <c r="U590" s="183">
        <v>14071733</v>
      </c>
      <c r="V590" s="183">
        <v>14071733</v>
      </c>
      <c r="W590" s="206" t="s">
        <v>75</v>
      </c>
      <c r="X590" s="206" t="s">
        <v>67</v>
      </c>
      <c r="Y590" s="150" t="s">
        <v>206</v>
      </c>
      <c r="Z590" s="150" t="s">
        <v>207</v>
      </c>
      <c r="AA590" s="150">
        <v>6012220601</v>
      </c>
      <c r="AB590" s="184" t="s">
        <v>208</v>
      </c>
      <c r="AC590" s="14">
        <v>14071733</v>
      </c>
      <c r="AD590" s="14"/>
      <c r="AE590" s="14"/>
      <c r="AF590" s="14"/>
      <c r="AG590" s="14"/>
      <c r="AH590" s="14"/>
      <c r="AI590" s="14"/>
      <c r="AJ590" s="14"/>
      <c r="AK590" s="14"/>
      <c r="AL590" s="14"/>
      <c r="AM590" s="14"/>
      <c r="AN590" s="14"/>
      <c r="AO590" s="14"/>
      <c r="AP590" s="14"/>
      <c r="AQ590" s="14"/>
      <c r="AR590" s="14"/>
      <c r="AS590" s="14"/>
      <c r="AT590" s="14"/>
      <c r="AU590" s="42"/>
      <c r="AV590" s="42"/>
      <c r="AW590" s="42"/>
      <c r="AX590" s="42"/>
      <c r="AY590" s="42"/>
      <c r="AZ590" s="42"/>
      <c r="BA590" s="17"/>
      <c r="BB590" s="17"/>
      <c r="BC590" s="18">
        <f t="shared" si="259"/>
        <v>14071733</v>
      </c>
      <c r="BD590" s="18">
        <f t="shared" si="260"/>
        <v>0</v>
      </c>
      <c r="BE590" s="19">
        <f t="shared" si="261"/>
        <v>14071733</v>
      </c>
      <c r="BF590" s="20">
        <f t="shared" si="262"/>
        <v>0</v>
      </c>
      <c r="BG590" s="20">
        <f t="shared" si="263"/>
        <v>14071733</v>
      </c>
    </row>
    <row r="591" spans="1:59" ht="14.25" customHeight="1">
      <c r="A591" s="150" t="s">
        <v>1311</v>
      </c>
      <c r="B591" s="150" t="s">
        <v>1057</v>
      </c>
      <c r="C591" s="152" t="s">
        <v>733</v>
      </c>
      <c r="D591" s="152" t="s">
        <v>62</v>
      </c>
      <c r="E591" s="152" t="s">
        <v>114</v>
      </c>
      <c r="F591" s="150" t="s">
        <v>1555</v>
      </c>
      <c r="G591" s="150" t="s">
        <v>733</v>
      </c>
      <c r="H591" s="150" t="s">
        <v>733</v>
      </c>
      <c r="I591" s="150" t="s">
        <v>733</v>
      </c>
      <c r="J591" s="181">
        <v>80111620</v>
      </c>
      <c r="K591" s="206" t="s">
        <v>1416</v>
      </c>
      <c r="L591" s="206" t="s">
        <v>83</v>
      </c>
      <c r="M591" s="206" t="s">
        <v>1556</v>
      </c>
      <c r="N591" s="150" t="s">
        <v>91</v>
      </c>
      <c r="O591" s="150" t="s">
        <v>91</v>
      </c>
      <c r="P591" s="150" t="s">
        <v>91</v>
      </c>
      <c r="Q591" s="150">
        <v>11.5</v>
      </c>
      <c r="R591" s="206" t="s">
        <v>72</v>
      </c>
      <c r="S591" s="206" t="s">
        <v>73</v>
      </c>
      <c r="T591" s="206" t="s">
        <v>74</v>
      </c>
      <c r="U591" s="183">
        <v>14071733</v>
      </c>
      <c r="V591" s="183">
        <v>14071733</v>
      </c>
      <c r="W591" s="206" t="s">
        <v>75</v>
      </c>
      <c r="X591" s="206" t="s">
        <v>67</v>
      </c>
      <c r="Y591" s="150" t="s">
        <v>206</v>
      </c>
      <c r="Z591" s="150" t="s">
        <v>207</v>
      </c>
      <c r="AA591" s="150">
        <v>6012220601</v>
      </c>
      <c r="AB591" s="184" t="s">
        <v>208</v>
      </c>
      <c r="AC591" s="14">
        <v>14071733</v>
      </c>
      <c r="AD591" s="14"/>
      <c r="AE591" s="14"/>
      <c r="AF591" s="14"/>
      <c r="AG591" s="14"/>
      <c r="AH591" s="14"/>
      <c r="AI591" s="14"/>
      <c r="AJ591" s="14"/>
      <c r="AK591" s="14"/>
      <c r="AL591" s="14"/>
      <c r="AM591" s="14"/>
      <c r="AN591" s="14"/>
      <c r="AO591" s="14"/>
      <c r="AP591" s="14"/>
      <c r="AQ591" s="14"/>
      <c r="AR591" s="14"/>
      <c r="AS591" s="14"/>
      <c r="AT591" s="14"/>
      <c r="AU591" s="42"/>
      <c r="AV591" s="42"/>
      <c r="AW591" s="42"/>
      <c r="AX591" s="42"/>
      <c r="AY591" s="42"/>
      <c r="AZ591" s="42"/>
      <c r="BA591" s="17"/>
      <c r="BB591" s="17"/>
      <c r="BC591" s="18">
        <f t="shared" si="259"/>
        <v>14071733</v>
      </c>
      <c r="BD591" s="18">
        <f t="shared" si="260"/>
        <v>0</v>
      </c>
      <c r="BE591" s="19">
        <f t="shared" si="261"/>
        <v>14071733</v>
      </c>
      <c r="BF591" s="20">
        <f t="shared" si="262"/>
        <v>0</v>
      </c>
      <c r="BG591" s="20">
        <f t="shared" si="263"/>
        <v>14071733</v>
      </c>
    </row>
    <row r="592" spans="1:59" ht="14.25" customHeight="1">
      <c r="A592" s="147" t="s">
        <v>1311</v>
      </c>
      <c r="B592" s="147" t="s">
        <v>1057</v>
      </c>
      <c r="C592" s="151" t="s">
        <v>733</v>
      </c>
      <c r="D592" s="151" t="s">
        <v>62</v>
      </c>
      <c r="E592" s="151">
        <v>48</v>
      </c>
      <c r="F592" s="149" t="s">
        <v>1557</v>
      </c>
      <c r="G592" s="147" t="s">
        <v>733</v>
      </c>
      <c r="H592" s="147" t="s">
        <v>733</v>
      </c>
      <c r="I592" s="147" t="s">
        <v>733</v>
      </c>
      <c r="J592" s="164">
        <v>80111620</v>
      </c>
      <c r="K592" s="168" t="s">
        <v>1531</v>
      </c>
      <c r="L592" s="168" t="s">
        <v>83</v>
      </c>
      <c r="M592" s="168" t="s">
        <v>1558</v>
      </c>
      <c r="N592" s="168" t="s">
        <v>91</v>
      </c>
      <c r="O592" s="168" t="s">
        <v>91</v>
      </c>
      <c r="P592" s="168" t="s">
        <v>91</v>
      </c>
      <c r="Q592" s="147">
        <v>11.5</v>
      </c>
      <c r="R592" s="168" t="s">
        <v>72</v>
      </c>
      <c r="S592" s="168" t="s">
        <v>73</v>
      </c>
      <c r="T592" s="168" t="s">
        <v>74</v>
      </c>
      <c r="U592" s="148">
        <v>104562878</v>
      </c>
      <c r="V592" s="148">
        <v>104562878</v>
      </c>
      <c r="W592" s="168" t="s">
        <v>75</v>
      </c>
      <c r="X592" s="168" t="s">
        <v>67</v>
      </c>
      <c r="Y592" s="168" t="s">
        <v>1559</v>
      </c>
      <c r="Z592" s="168" t="s">
        <v>93</v>
      </c>
      <c r="AA592" s="147">
        <v>6012220601</v>
      </c>
      <c r="AB592" s="205" t="s">
        <v>1560</v>
      </c>
      <c r="AC592" s="14"/>
      <c r="AD592" s="14"/>
      <c r="AE592" s="14"/>
      <c r="AF592" s="14"/>
      <c r="AG592" s="14"/>
      <c r="AH592" s="14"/>
      <c r="AI592" s="14"/>
      <c r="AJ592" s="14"/>
      <c r="AK592" s="14"/>
      <c r="AL592" s="14"/>
      <c r="AM592" s="14"/>
      <c r="AN592" s="14"/>
      <c r="AO592" s="14"/>
      <c r="AP592" s="14"/>
      <c r="AQ592" s="14"/>
      <c r="AR592" s="14"/>
      <c r="AS592" s="14"/>
      <c r="AT592" s="14"/>
      <c r="AU592" s="25"/>
      <c r="AV592" s="25">
        <v>8500000</v>
      </c>
      <c r="AW592" s="25"/>
      <c r="AX592" s="25">
        <v>8500000</v>
      </c>
      <c r="AY592" s="25"/>
      <c r="AZ592" s="25">
        <v>17000000</v>
      </c>
      <c r="BA592" s="17"/>
      <c r="BB592" s="17"/>
      <c r="BC592" s="18">
        <f t="shared" si="259"/>
        <v>0</v>
      </c>
      <c r="BD592" s="18">
        <f t="shared" si="260"/>
        <v>34000000</v>
      </c>
      <c r="BE592" s="19">
        <f t="shared" si="261"/>
        <v>-34000000</v>
      </c>
      <c r="BF592" s="20">
        <f t="shared" si="262"/>
        <v>104562878</v>
      </c>
      <c r="BG592" s="20">
        <f t="shared" si="263"/>
        <v>70562878</v>
      </c>
    </row>
    <row r="593" spans="1:59" ht="14.25" customHeight="1">
      <c r="A593" s="147" t="s">
        <v>1311</v>
      </c>
      <c r="B593" s="147" t="s">
        <v>1057</v>
      </c>
      <c r="C593" s="151" t="s">
        <v>733</v>
      </c>
      <c r="D593" s="151" t="s">
        <v>62</v>
      </c>
      <c r="E593" s="151">
        <v>31</v>
      </c>
      <c r="F593" s="149" t="s">
        <v>1561</v>
      </c>
      <c r="G593" s="147" t="s">
        <v>733</v>
      </c>
      <c r="H593" s="147" t="s">
        <v>733</v>
      </c>
      <c r="I593" s="147" t="s">
        <v>733</v>
      </c>
      <c r="J593" s="164">
        <v>80111620</v>
      </c>
      <c r="K593" s="168" t="s">
        <v>1416</v>
      </c>
      <c r="L593" s="168" t="s">
        <v>83</v>
      </c>
      <c r="M593" s="168" t="s">
        <v>1562</v>
      </c>
      <c r="N593" s="168" t="s">
        <v>91</v>
      </c>
      <c r="O593" s="168" t="s">
        <v>91</v>
      </c>
      <c r="P593" s="168" t="s">
        <v>91</v>
      </c>
      <c r="Q593" s="147">
        <v>10</v>
      </c>
      <c r="R593" s="168" t="s">
        <v>72</v>
      </c>
      <c r="S593" s="168" t="s">
        <v>73</v>
      </c>
      <c r="T593" s="168" t="s">
        <v>74</v>
      </c>
      <c r="U593" s="148">
        <v>86191560</v>
      </c>
      <c r="V593" s="148">
        <v>86191560</v>
      </c>
      <c r="W593" s="168" t="s">
        <v>75</v>
      </c>
      <c r="X593" s="168" t="s">
        <v>67</v>
      </c>
      <c r="Y593" s="168" t="s">
        <v>1390</v>
      </c>
      <c r="Z593" s="168" t="s">
        <v>1391</v>
      </c>
      <c r="AA593" s="147">
        <v>6012220601</v>
      </c>
      <c r="AB593" s="205" t="s">
        <v>1392</v>
      </c>
      <c r="AC593" s="14"/>
      <c r="AD593" s="14"/>
      <c r="AE593" s="14"/>
      <c r="AF593" s="14"/>
      <c r="AG593" s="14"/>
      <c r="AH593" s="14"/>
      <c r="AI593" s="14"/>
      <c r="AJ593" s="14"/>
      <c r="AK593" s="14"/>
      <c r="AL593" s="14"/>
      <c r="AM593" s="14"/>
      <c r="AN593" s="14"/>
      <c r="AO593" s="14"/>
      <c r="AP593" s="14"/>
      <c r="AQ593" s="14"/>
      <c r="AR593" s="14"/>
      <c r="AS593" s="14"/>
      <c r="AT593" s="14"/>
      <c r="AU593" s="25"/>
      <c r="AV593" s="25">
        <v>7366800</v>
      </c>
      <c r="AW593" s="25"/>
      <c r="AX593" s="25">
        <v>7366800</v>
      </c>
      <c r="AY593" s="25"/>
      <c r="AZ593" s="25">
        <v>7366800</v>
      </c>
      <c r="BA593" s="17"/>
      <c r="BB593" s="17"/>
      <c r="BC593" s="18">
        <f t="shared" si="259"/>
        <v>0</v>
      </c>
      <c r="BD593" s="18">
        <f t="shared" si="260"/>
        <v>22100400</v>
      </c>
      <c r="BE593" s="19">
        <f t="shared" si="261"/>
        <v>-22100400</v>
      </c>
      <c r="BF593" s="20">
        <f t="shared" si="262"/>
        <v>86191560</v>
      </c>
      <c r="BG593" s="20">
        <f t="shared" si="263"/>
        <v>64091160</v>
      </c>
    </row>
    <row r="594" spans="1:59" ht="14.25" customHeight="1">
      <c r="A594" s="147" t="s">
        <v>1311</v>
      </c>
      <c r="B594" s="147" t="s">
        <v>1057</v>
      </c>
      <c r="C594" s="151" t="s">
        <v>733</v>
      </c>
      <c r="D594" s="151" t="s">
        <v>62</v>
      </c>
      <c r="E594" s="151" t="s">
        <v>114</v>
      </c>
      <c r="F594" s="149" t="s">
        <v>1563</v>
      </c>
      <c r="G594" s="147" t="s">
        <v>733</v>
      </c>
      <c r="H594" s="147" t="s">
        <v>733</v>
      </c>
      <c r="I594" s="147" t="s">
        <v>733</v>
      </c>
      <c r="J594" s="164" t="s">
        <v>1564</v>
      </c>
      <c r="K594" s="168" t="s">
        <v>1565</v>
      </c>
      <c r="L594" s="168" t="s">
        <v>83</v>
      </c>
      <c r="M594" s="168" t="s">
        <v>1566</v>
      </c>
      <c r="N594" s="168" t="s">
        <v>91</v>
      </c>
      <c r="O594" s="168" t="s">
        <v>91</v>
      </c>
      <c r="P594" s="168" t="s">
        <v>91</v>
      </c>
      <c r="Q594" s="147">
        <v>12</v>
      </c>
      <c r="R594" s="168" t="s">
        <v>72</v>
      </c>
      <c r="S594" s="168" t="s">
        <v>227</v>
      </c>
      <c r="T594" s="168" t="s">
        <v>74</v>
      </c>
      <c r="U594" s="148">
        <v>66167280</v>
      </c>
      <c r="V594" s="148">
        <v>66167280</v>
      </c>
      <c r="W594" s="168" t="s">
        <v>75</v>
      </c>
      <c r="X594" s="168" t="s">
        <v>67</v>
      </c>
      <c r="Y594" s="168" t="s">
        <v>1390</v>
      </c>
      <c r="Z594" s="168" t="s">
        <v>1391</v>
      </c>
      <c r="AA594" s="147">
        <v>6012220601</v>
      </c>
      <c r="AB594" s="205" t="s">
        <v>1392</v>
      </c>
      <c r="AC594" s="14"/>
      <c r="AD594" s="14"/>
      <c r="AE594" s="14"/>
      <c r="AF594" s="14"/>
      <c r="AG594" s="14"/>
      <c r="AH594" s="14"/>
      <c r="AI594" s="14"/>
      <c r="AJ594" s="14"/>
      <c r="AK594" s="14"/>
      <c r="AL594" s="14"/>
      <c r="AM594" s="14"/>
      <c r="AN594" s="14"/>
      <c r="AO594" s="14"/>
      <c r="AP594" s="14"/>
      <c r="AQ594" s="14"/>
      <c r="AR594" s="14"/>
      <c r="AS594" s="14"/>
      <c r="AT594" s="14"/>
      <c r="AU594" s="25"/>
      <c r="AV594" s="25">
        <v>5513940</v>
      </c>
      <c r="AW594" s="25"/>
      <c r="AX594" s="25">
        <v>5513940</v>
      </c>
      <c r="AY594" s="25"/>
      <c r="AZ594" s="25">
        <v>5513940</v>
      </c>
      <c r="BA594" s="17"/>
      <c r="BB594" s="17"/>
      <c r="BC594" s="18">
        <f t="shared" si="259"/>
        <v>0</v>
      </c>
      <c r="BD594" s="18">
        <f t="shared" si="260"/>
        <v>16541820</v>
      </c>
      <c r="BE594" s="19">
        <f t="shared" si="261"/>
        <v>-16541820</v>
      </c>
      <c r="BF594" s="20">
        <f t="shared" si="262"/>
        <v>66167280</v>
      </c>
      <c r="BG594" s="20">
        <f t="shared" si="263"/>
        <v>49625460</v>
      </c>
    </row>
    <row r="595" spans="1:59" ht="14.25" customHeight="1">
      <c r="A595" s="147" t="s">
        <v>1311</v>
      </c>
      <c r="B595" s="147" t="s">
        <v>1057</v>
      </c>
      <c r="C595" s="151" t="s">
        <v>733</v>
      </c>
      <c r="D595" s="151" t="s">
        <v>62</v>
      </c>
      <c r="E595" s="151">
        <v>46</v>
      </c>
      <c r="F595" s="149" t="s">
        <v>1567</v>
      </c>
      <c r="G595" s="147" t="s">
        <v>733</v>
      </c>
      <c r="H595" s="147" t="s">
        <v>733</v>
      </c>
      <c r="I595" s="147" t="s">
        <v>733</v>
      </c>
      <c r="J595" s="164">
        <v>80111620</v>
      </c>
      <c r="K595" s="168" t="s">
        <v>1416</v>
      </c>
      <c r="L595" s="168" t="s">
        <v>83</v>
      </c>
      <c r="M595" s="168" t="s">
        <v>1568</v>
      </c>
      <c r="N595" s="168" t="s">
        <v>91</v>
      </c>
      <c r="O595" s="168" t="s">
        <v>91</v>
      </c>
      <c r="P595" s="168" t="s">
        <v>91</v>
      </c>
      <c r="Q595" s="147">
        <v>10</v>
      </c>
      <c r="R595" s="168" t="s">
        <v>72</v>
      </c>
      <c r="S595" s="168" t="s">
        <v>73</v>
      </c>
      <c r="T595" s="168" t="s">
        <v>74</v>
      </c>
      <c r="U595" s="148">
        <v>37947000</v>
      </c>
      <c r="V595" s="148">
        <v>37947000</v>
      </c>
      <c r="W595" s="168" t="s">
        <v>75</v>
      </c>
      <c r="X595" s="168" t="s">
        <v>67</v>
      </c>
      <c r="Y595" s="168" t="s">
        <v>1315</v>
      </c>
      <c r="Z595" s="168" t="s">
        <v>1569</v>
      </c>
      <c r="AA595" s="147">
        <v>6012220601</v>
      </c>
      <c r="AB595" s="205" t="s">
        <v>104</v>
      </c>
      <c r="AC595" s="14"/>
      <c r="AD595" s="14"/>
      <c r="AE595" s="14"/>
      <c r="AF595" s="14"/>
      <c r="AG595" s="14"/>
      <c r="AH595" s="14"/>
      <c r="AI595" s="14"/>
      <c r="AJ595" s="14"/>
      <c r="AK595" s="14"/>
      <c r="AL595" s="14"/>
      <c r="AM595" s="14"/>
      <c r="AN595" s="14"/>
      <c r="AO595" s="14"/>
      <c r="AP595" s="14"/>
      <c r="AQ595" s="14"/>
      <c r="AR595" s="14"/>
      <c r="AS595" s="14"/>
      <c r="AT595" s="14"/>
      <c r="AU595" s="25"/>
      <c r="AV595" s="25">
        <v>3536160</v>
      </c>
      <c r="AW595" s="25"/>
      <c r="AX595" s="25">
        <v>3536160</v>
      </c>
      <c r="AY595" s="25"/>
      <c r="AZ595" s="25">
        <v>1768080</v>
      </c>
      <c r="BA595" s="17"/>
      <c r="BB595" s="17"/>
      <c r="BC595" s="18">
        <f t="shared" si="259"/>
        <v>0</v>
      </c>
      <c r="BD595" s="18">
        <f t="shared" si="260"/>
        <v>8840400</v>
      </c>
      <c r="BE595" s="19">
        <f t="shared" si="261"/>
        <v>-8840400</v>
      </c>
      <c r="BF595" s="20">
        <f t="shared" si="262"/>
        <v>37947000</v>
      </c>
      <c r="BG595" s="20">
        <f t="shared" si="263"/>
        <v>29106600</v>
      </c>
    </row>
    <row r="596" spans="1:59" ht="14.25" customHeight="1">
      <c r="A596" s="147" t="s">
        <v>1311</v>
      </c>
      <c r="B596" s="147" t="s">
        <v>1057</v>
      </c>
      <c r="C596" s="151" t="s">
        <v>733</v>
      </c>
      <c r="D596" s="151" t="s">
        <v>62</v>
      </c>
      <c r="E596" s="151">
        <v>22</v>
      </c>
      <c r="F596" s="149" t="s">
        <v>1570</v>
      </c>
      <c r="G596" s="147" t="s">
        <v>733</v>
      </c>
      <c r="H596" s="147" t="s">
        <v>733</v>
      </c>
      <c r="I596" s="147" t="s">
        <v>733</v>
      </c>
      <c r="J596" s="164">
        <v>80111620</v>
      </c>
      <c r="K596" s="168" t="s">
        <v>1416</v>
      </c>
      <c r="L596" s="168" t="s">
        <v>83</v>
      </c>
      <c r="M596" s="168" t="s">
        <v>1571</v>
      </c>
      <c r="N596" s="168" t="s">
        <v>91</v>
      </c>
      <c r="O596" s="168" t="s">
        <v>91</v>
      </c>
      <c r="P596" s="168" t="s">
        <v>91</v>
      </c>
      <c r="Q596" s="147">
        <v>10</v>
      </c>
      <c r="R596" s="168" t="s">
        <v>72</v>
      </c>
      <c r="S596" s="168" t="s">
        <v>73</v>
      </c>
      <c r="T596" s="168" t="s">
        <v>74</v>
      </c>
      <c r="U596" s="148">
        <v>14979160</v>
      </c>
      <c r="V596" s="148">
        <v>14979160</v>
      </c>
      <c r="W596" s="168" t="s">
        <v>75</v>
      </c>
      <c r="X596" s="168" t="s">
        <v>67</v>
      </c>
      <c r="Y596" s="168" t="s">
        <v>1390</v>
      </c>
      <c r="Z596" s="168" t="s">
        <v>1391</v>
      </c>
      <c r="AA596" s="147">
        <v>6012220601</v>
      </c>
      <c r="AB596" s="205" t="s">
        <v>1392</v>
      </c>
      <c r="AC596" s="14"/>
      <c r="AD596" s="14"/>
      <c r="AE596" s="14"/>
      <c r="AF596" s="14"/>
      <c r="AG596" s="14"/>
      <c r="AH596" s="14"/>
      <c r="AI596" s="14"/>
      <c r="AJ596" s="14"/>
      <c r="AK596" s="14"/>
      <c r="AL596" s="14"/>
      <c r="AM596" s="14"/>
      <c r="AN596" s="14"/>
      <c r="AO596" s="14"/>
      <c r="AP596" s="14"/>
      <c r="AQ596" s="14"/>
      <c r="AR596" s="14"/>
      <c r="AS596" s="14"/>
      <c r="AT596" s="14"/>
      <c r="AU596" s="25"/>
      <c r="AV596" s="25">
        <v>3285450</v>
      </c>
      <c r="AW596" s="25"/>
      <c r="AX596" s="25">
        <v>3285450</v>
      </c>
      <c r="AY596" s="25"/>
      <c r="AZ596" s="25">
        <v>6570900</v>
      </c>
      <c r="BA596" s="17"/>
      <c r="BB596" s="17"/>
      <c r="BC596" s="18">
        <f t="shared" si="259"/>
        <v>0</v>
      </c>
      <c r="BD596" s="18">
        <f t="shared" si="260"/>
        <v>13141800</v>
      </c>
      <c r="BE596" s="19">
        <f t="shared" si="261"/>
        <v>-13141800</v>
      </c>
      <c r="BF596" s="20">
        <f t="shared" si="262"/>
        <v>14979160</v>
      </c>
      <c r="BG596" s="20">
        <f t="shared" si="263"/>
        <v>1837360</v>
      </c>
    </row>
    <row r="597" spans="1:59" ht="14.25" customHeight="1">
      <c r="A597" s="147" t="s">
        <v>1311</v>
      </c>
      <c r="B597" s="147" t="s">
        <v>1057</v>
      </c>
      <c r="C597" s="151" t="s">
        <v>733</v>
      </c>
      <c r="D597" s="151" t="s">
        <v>62</v>
      </c>
      <c r="E597" s="151" t="s">
        <v>114</v>
      </c>
      <c r="F597" s="149" t="s">
        <v>1572</v>
      </c>
      <c r="G597" s="147" t="s">
        <v>733</v>
      </c>
      <c r="H597" s="147" t="s">
        <v>733</v>
      </c>
      <c r="I597" s="147" t="s">
        <v>733</v>
      </c>
      <c r="J597" s="164">
        <v>80131500</v>
      </c>
      <c r="K597" s="168" t="s">
        <v>1573</v>
      </c>
      <c r="L597" s="168" t="s">
        <v>97</v>
      </c>
      <c r="M597" s="147" t="s">
        <v>1574</v>
      </c>
      <c r="N597" s="168" t="s">
        <v>91</v>
      </c>
      <c r="O597" s="168" t="s">
        <v>91</v>
      </c>
      <c r="P597" s="168" t="s">
        <v>91</v>
      </c>
      <c r="Q597" s="147">
        <v>11.5</v>
      </c>
      <c r="R597" s="168" t="s">
        <v>72</v>
      </c>
      <c r="S597" s="168" t="s">
        <v>101</v>
      </c>
      <c r="T597" s="168" t="s">
        <v>74</v>
      </c>
      <c r="U597" s="148">
        <v>139469810</v>
      </c>
      <c r="V597" s="148">
        <v>139469810</v>
      </c>
      <c r="W597" s="168" t="s">
        <v>75</v>
      </c>
      <c r="X597" s="168" t="s">
        <v>67</v>
      </c>
      <c r="Y597" s="168" t="s">
        <v>1315</v>
      </c>
      <c r="Z597" s="168" t="s">
        <v>1569</v>
      </c>
      <c r="AA597" s="147">
        <v>6012220601</v>
      </c>
      <c r="AB597" s="205" t="s">
        <v>104</v>
      </c>
      <c r="AC597" s="14"/>
      <c r="AD597" s="14"/>
      <c r="AE597" s="14"/>
      <c r="AF597" s="14"/>
      <c r="AG597" s="14"/>
      <c r="AH597" s="14"/>
      <c r="AI597" s="14"/>
      <c r="AJ597" s="14"/>
      <c r="AK597" s="14"/>
      <c r="AL597" s="14"/>
      <c r="AM597" s="14"/>
      <c r="AN597" s="14"/>
      <c r="AO597" s="14"/>
      <c r="AP597" s="14"/>
      <c r="AQ597" s="14"/>
      <c r="AR597" s="14"/>
      <c r="AS597" s="14"/>
      <c r="AT597" s="14"/>
      <c r="AU597" s="25"/>
      <c r="AV597" s="25">
        <v>11622484</v>
      </c>
      <c r="AW597" s="25"/>
      <c r="AX597" s="25">
        <v>11622484</v>
      </c>
      <c r="AY597" s="25"/>
      <c r="AZ597" s="25">
        <v>11622486</v>
      </c>
      <c r="BA597" s="17"/>
      <c r="BB597" s="17"/>
      <c r="BC597" s="18">
        <f t="shared" si="259"/>
        <v>0</v>
      </c>
      <c r="BD597" s="18">
        <f t="shared" si="260"/>
        <v>34867454</v>
      </c>
      <c r="BE597" s="19">
        <f t="shared" si="261"/>
        <v>-34867454</v>
      </c>
      <c r="BF597" s="20">
        <f t="shared" si="262"/>
        <v>139469810</v>
      </c>
      <c r="BG597" s="20">
        <f t="shared" si="263"/>
        <v>104602356</v>
      </c>
    </row>
    <row r="598" spans="1:59" ht="14.25" customHeight="1">
      <c r="A598" s="147" t="s">
        <v>1311</v>
      </c>
      <c r="B598" s="147" t="s">
        <v>1057</v>
      </c>
      <c r="C598" s="151" t="s">
        <v>733</v>
      </c>
      <c r="D598" s="151" t="s">
        <v>62</v>
      </c>
      <c r="E598" s="151" t="s">
        <v>114</v>
      </c>
      <c r="F598" s="149" t="s">
        <v>1575</v>
      </c>
      <c r="G598" s="147" t="s">
        <v>733</v>
      </c>
      <c r="H598" s="147" t="s">
        <v>733</v>
      </c>
      <c r="I598" s="147" t="s">
        <v>733</v>
      </c>
      <c r="J598" s="164">
        <v>80111620</v>
      </c>
      <c r="K598" s="168" t="s">
        <v>1531</v>
      </c>
      <c r="L598" s="168" t="s">
        <v>83</v>
      </c>
      <c r="M598" s="168" t="s">
        <v>1576</v>
      </c>
      <c r="N598" s="168" t="s">
        <v>91</v>
      </c>
      <c r="O598" s="168" t="s">
        <v>91</v>
      </c>
      <c r="P598" s="168" t="s">
        <v>91</v>
      </c>
      <c r="Q598" s="147">
        <v>10</v>
      </c>
      <c r="R598" s="168" t="s">
        <v>72</v>
      </c>
      <c r="S598" s="168" t="s">
        <v>73</v>
      </c>
      <c r="T598" s="168" t="s">
        <v>74</v>
      </c>
      <c r="U598" s="148">
        <v>74369600</v>
      </c>
      <c r="V598" s="148">
        <v>74369600</v>
      </c>
      <c r="W598" s="168" t="s">
        <v>75</v>
      </c>
      <c r="X598" s="168" t="s">
        <v>67</v>
      </c>
      <c r="Y598" s="168" t="s">
        <v>1390</v>
      </c>
      <c r="Z598" s="168" t="s">
        <v>1391</v>
      </c>
      <c r="AA598" s="147">
        <v>6012220601</v>
      </c>
      <c r="AB598" s="205" t="s">
        <v>1392</v>
      </c>
      <c r="AC598" s="14">
        <v>73668000</v>
      </c>
      <c r="AD598" s="14"/>
      <c r="AE598" s="14"/>
      <c r="AF598" s="14"/>
      <c r="AG598" s="14"/>
      <c r="AH598" s="14"/>
      <c r="AI598" s="14"/>
      <c r="AJ598" s="14"/>
      <c r="AK598" s="14"/>
      <c r="AL598" s="14"/>
      <c r="AM598" s="14"/>
      <c r="AN598" s="14"/>
      <c r="AO598" s="14"/>
      <c r="AP598" s="14"/>
      <c r="AQ598" s="14"/>
      <c r="AR598" s="14"/>
      <c r="AS598" s="14"/>
      <c r="AT598" s="14"/>
      <c r="AU598" s="25"/>
      <c r="AV598" s="25">
        <v>7436960</v>
      </c>
      <c r="AW598" s="25"/>
      <c r="AX598" s="25">
        <v>7436960</v>
      </c>
      <c r="AY598" s="25"/>
      <c r="AZ598" s="25">
        <v>3718480</v>
      </c>
      <c r="BA598" s="17"/>
      <c r="BB598" s="17"/>
      <c r="BC598" s="18">
        <f t="shared" si="259"/>
        <v>73668000</v>
      </c>
      <c r="BD598" s="18">
        <f t="shared" si="260"/>
        <v>18592400</v>
      </c>
      <c r="BE598" s="19">
        <f t="shared" si="261"/>
        <v>55075600</v>
      </c>
      <c r="BF598" s="20">
        <f t="shared" si="262"/>
        <v>701600</v>
      </c>
      <c r="BG598" s="20">
        <f t="shared" si="263"/>
        <v>55777200</v>
      </c>
    </row>
    <row r="599" spans="1:59" ht="14.25" customHeight="1">
      <c r="A599" s="147" t="s">
        <v>1311</v>
      </c>
      <c r="B599" s="147" t="s">
        <v>1057</v>
      </c>
      <c r="C599" s="151" t="s">
        <v>733</v>
      </c>
      <c r="D599" s="151" t="s">
        <v>62</v>
      </c>
      <c r="E599" s="151" t="s">
        <v>114</v>
      </c>
      <c r="F599" s="149" t="s">
        <v>1577</v>
      </c>
      <c r="G599" s="147" t="s">
        <v>733</v>
      </c>
      <c r="H599" s="147" t="s">
        <v>733</v>
      </c>
      <c r="I599" s="147" t="s">
        <v>733</v>
      </c>
      <c r="J599" s="164">
        <v>80111620</v>
      </c>
      <c r="K599" s="168" t="s">
        <v>1416</v>
      </c>
      <c r="L599" s="168" t="s">
        <v>83</v>
      </c>
      <c r="M599" s="147" t="s">
        <v>1578</v>
      </c>
      <c r="N599" s="168" t="s">
        <v>91</v>
      </c>
      <c r="O599" s="168" t="s">
        <v>91</v>
      </c>
      <c r="P599" s="168" t="s">
        <v>91</v>
      </c>
      <c r="Q599" s="147">
        <v>10.5</v>
      </c>
      <c r="R599" s="168" t="s">
        <v>72</v>
      </c>
      <c r="S599" s="168" t="s">
        <v>73</v>
      </c>
      <c r="T599" s="168" t="s">
        <v>74</v>
      </c>
      <c r="U599" s="148">
        <v>35622510</v>
      </c>
      <c r="V599" s="148">
        <v>35622510</v>
      </c>
      <c r="W599" s="168" t="s">
        <v>75</v>
      </c>
      <c r="X599" s="168" t="s">
        <v>67</v>
      </c>
      <c r="Y599" s="168" t="s">
        <v>1390</v>
      </c>
      <c r="Z599" s="168" t="s">
        <v>1391</v>
      </c>
      <c r="AA599" s="147">
        <v>6012220601</v>
      </c>
      <c r="AB599" s="205" t="s">
        <v>1392</v>
      </c>
      <c r="AC599" s="14"/>
      <c r="AD599" s="14"/>
      <c r="AE599" s="14"/>
      <c r="AF599" s="14"/>
      <c r="AG599" s="14"/>
      <c r="AH599" s="14"/>
      <c r="AI599" s="14"/>
      <c r="AJ599" s="14"/>
      <c r="AK599" s="14"/>
      <c r="AL599" s="14"/>
      <c r="AM599" s="14"/>
      <c r="AN599" s="14"/>
      <c r="AO599" s="14"/>
      <c r="AP599" s="14"/>
      <c r="AQ599" s="14"/>
      <c r="AR599" s="14"/>
      <c r="AS599" s="14"/>
      <c r="AT599" s="14"/>
      <c r="AU599" s="25"/>
      <c r="AV599" s="25">
        <v>3316740</v>
      </c>
      <c r="AW599" s="25"/>
      <c r="AX599" s="25">
        <v>3316740</v>
      </c>
      <c r="AY599" s="25"/>
      <c r="AZ599" s="25">
        <v>4113480</v>
      </c>
      <c r="BA599" s="17"/>
      <c r="BB599" s="17"/>
      <c r="BC599" s="18">
        <f t="shared" si="259"/>
        <v>0</v>
      </c>
      <c r="BD599" s="18">
        <f t="shared" si="260"/>
        <v>10746960</v>
      </c>
      <c r="BE599" s="19">
        <f t="shared" si="261"/>
        <v>-10746960</v>
      </c>
      <c r="BF599" s="20">
        <f t="shared" si="262"/>
        <v>35622510</v>
      </c>
      <c r="BG599" s="20">
        <f t="shared" si="263"/>
        <v>24875550</v>
      </c>
    </row>
    <row r="600" spans="1:59" ht="14.25" customHeight="1">
      <c r="A600" s="147" t="s">
        <v>1311</v>
      </c>
      <c r="B600" s="147" t="s">
        <v>1057</v>
      </c>
      <c r="C600" s="151" t="s">
        <v>733</v>
      </c>
      <c r="D600" s="151" t="s">
        <v>62</v>
      </c>
      <c r="E600" s="151" t="s">
        <v>114</v>
      </c>
      <c r="F600" s="149" t="s">
        <v>1579</v>
      </c>
      <c r="G600" s="147" t="s">
        <v>733</v>
      </c>
      <c r="H600" s="147" t="s">
        <v>733</v>
      </c>
      <c r="I600" s="147" t="s">
        <v>733</v>
      </c>
      <c r="J600" s="207" t="s">
        <v>682</v>
      </c>
      <c r="K600" s="168" t="s">
        <v>1580</v>
      </c>
      <c r="L600" s="168" t="s">
        <v>131</v>
      </c>
      <c r="M600" s="168" t="s">
        <v>1581</v>
      </c>
      <c r="N600" s="168" t="s">
        <v>91</v>
      </c>
      <c r="O600" s="168" t="s">
        <v>91</v>
      </c>
      <c r="P600" s="168" t="s">
        <v>91</v>
      </c>
      <c r="Q600" s="147">
        <v>11.5</v>
      </c>
      <c r="R600" s="168" t="s">
        <v>72</v>
      </c>
      <c r="S600" s="168" t="s">
        <v>222</v>
      </c>
      <c r="T600" s="168" t="s">
        <v>74</v>
      </c>
      <c r="U600" s="148">
        <v>30000000</v>
      </c>
      <c r="V600" s="148">
        <v>30000000</v>
      </c>
      <c r="W600" s="168" t="s">
        <v>75</v>
      </c>
      <c r="X600" s="168" t="s">
        <v>67</v>
      </c>
      <c r="Y600" s="168" t="s">
        <v>1315</v>
      </c>
      <c r="Z600" s="168" t="s">
        <v>1569</v>
      </c>
      <c r="AA600" s="147">
        <v>6012220601</v>
      </c>
      <c r="AB600" s="205" t="s">
        <v>104</v>
      </c>
      <c r="AC600" s="14"/>
      <c r="AD600" s="14"/>
      <c r="AE600" s="14"/>
      <c r="AF600" s="14"/>
      <c r="AG600" s="14"/>
      <c r="AH600" s="14"/>
      <c r="AI600" s="14"/>
      <c r="AJ600" s="14"/>
      <c r="AK600" s="14"/>
      <c r="AL600" s="14"/>
      <c r="AM600" s="14"/>
      <c r="AN600" s="14"/>
      <c r="AO600" s="14"/>
      <c r="AP600" s="14"/>
      <c r="AQ600" s="14"/>
      <c r="AR600" s="14"/>
      <c r="AS600" s="14"/>
      <c r="AT600" s="14"/>
      <c r="AU600" s="25"/>
      <c r="AV600" s="25">
        <v>2500000</v>
      </c>
      <c r="AW600" s="25"/>
      <c r="AX600" s="25">
        <v>2500000</v>
      </c>
      <c r="AY600" s="25"/>
      <c r="AZ600" s="25">
        <v>2500000</v>
      </c>
      <c r="BA600" s="17"/>
      <c r="BB600" s="17"/>
      <c r="BC600" s="18">
        <f t="shared" si="259"/>
        <v>0</v>
      </c>
      <c r="BD600" s="18">
        <f t="shared" si="260"/>
        <v>7500000</v>
      </c>
      <c r="BE600" s="19">
        <f t="shared" si="261"/>
        <v>-7500000</v>
      </c>
      <c r="BF600" s="20">
        <f t="shared" si="262"/>
        <v>30000000</v>
      </c>
      <c r="BG600" s="20">
        <f t="shared" si="263"/>
        <v>22500000</v>
      </c>
    </row>
    <row r="601" spans="1:59" ht="14.25" customHeight="1">
      <c r="A601" s="147" t="s">
        <v>1311</v>
      </c>
      <c r="B601" s="147" t="s">
        <v>1057</v>
      </c>
      <c r="C601" s="151" t="s">
        <v>733</v>
      </c>
      <c r="D601" s="151" t="s">
        <v>62</v>
      </c>
      <c r="E601" s="151" t="s">
        <v>114</v>
      </c>
      <c r="F601" s="149" t="s">
        <v>1582</v>
      </c>
      <c r="G601" s="147" t="s">
        <v>733</v>
      </c>
      <c r="H601" s="147" t="s">
        <v>733</v>
      </c>
      <c r="I601" s="147" t="s">
        <v>733</v>
      </c>
      <c r="J601" s="164">
        <v>80111620</v>
      </c>
      <c r="K601" s="168" t="s">
        <v>1416</v>
      </c>
      <c r="L601" s="168" t="s">
        <v>83</v>
      </c>
      <c r="M601" s="168" t="s">
        <v>1583</v>
      </c>
      <c r="N601" s="168" t="s">
        <v>100</v>
      </c>
      <c r="O601" s="168" t="s">
        <v>100</v>
      </c>
      <c r="P601" s="168" t="s">
        <v>100</v>
      </c>
      <c r="Q601" s="147">
        <v>5.5</v>
      </c>
      <c r="R601" s="168" t="s">
        <v>72</v>
      </c>
      <c r="S601" s="168" t="s">
        <v>73</v>
      </c>
      <c r="T601" s="168" t="s">
        <v>74</v>
      </c>
      <c r="U601" s="148">
        <v>19019000</v>
      </c>
      <c r="V601" s="148">
        <v>19019000</v>
      </c>
      <c r="W601" s="147" t="s">
        <v>75</v>
      </c>
      <c r="X601" s="147" t="s">
        <v>67</v>
      </c>
      <c r="Y601" s="168" t="s">
        <v>1064</v>
      </c>
      <c r="Z601" s="168" t="s">
        <v>1065</v>
      </c>
      <c r="AA601" s="147">
        <v>6012220601</v>
      </c>
      <c r="AB601" s="205" t="s">
        <v>1066</v>
      </c>
      <c r="AC601" s="14"/>
      <c r="AD601" s="14"/>
      <c r="AE601" s="14"/>
      <c r="AF601" s="14"/>
      <c r="AG601" s="14"/>
      <c r="AH601" s="14"/>
      <c r="AI601" s="14"/>
      <c r="AJ601" s="14"/>
      <c r="AK601" s="14"/>
      <c r="AL601" s="14"/>
      <c r="AM601" s="14"/>
      <c r="AN601" s="14"/>
      <c r="AO601" s="14"/>
      <c r="AP601" s="14"/>
      <c r="AQ601" s="14"/>
      <c r="AR601" s="14"/>
      <c r="AS601" s="14"/>
      <c r="AT601" s="14"/>
      <c r="AU601" s="25"/>
      <c r="AV601" s="25">
        <v>3458000</v>
      </c>
      <c r="AW601" s="25"/>
      <c r="AX601" s="25">
        <v>3458000</v>
      </c>
      <c r="AY601" s="25"/>
      <c r="AZ601" s="25">
        <v>6916000</v>
      </c>
      <c r="BA601" s="17"/>
      <c r="BB601" s="17"/>
      <c r="BC601" s="18">
        <f t="shared" si="259"/>
        <v>0</v>
      </c>
      <c r="BD601" s="18">
        <f t="shared" si="260"/>
        <v>13832000</v>
      </c>
      <c r="BE601" s="19">
        <f t="shared" si="261"/>
        <v>-13832000</v>
      </c>
      <c r="BF601" s="20">
        <f t="shared" si="262"/>
        <v>19019000</v>
      </c>
      <c r="BG601" s="20">
        <f t="shared" si="263"/>
        <v>5187000</v>
      </c>
    </row>
    <row r="602" spans="1:59" ht="14.25" customHeight="1">
      <c r="A602" s="147" t="s">
        <v>1311</v>
      </c>
      <c r="B602" s="147" t="s">
        <v>1057</v>
      </c>
      <c r="C602" s="151" t="s">
        <v>733</v>
      </c>
      <c r="D602" s="151" t="s">
        <v>62</v>
      </c>
      <c r="E602" s="151" t="s">
        <v>114</v>
      </c>
      <c r="F602" s="149" t="s">
        <v>1584</v>
      </c>
      <c r="G602" s="147" t="s">
        <v>733</v>
      </c>
      <c r="H602" s="147" t="s">
        <v>733</v>
      </c>
      <c r="I602" s="147" t="s">
        <v>733</v>
      </c>
      <c r="J602" s="164">
        <v>80111620</v>
      </c>
      <c r="K602" s="168" t="s">
        <v>1531</v>
      </c>
      <c r="L602" s="168" t="s">
        <v>83</v>
      </c>
      <c r="M602" s="168" t="s">
        <v>1585</v>
      </c>
      <c r="N602" s="168" t="s">
        <v>85</v>
      </c>
      <c r="O602" s="168" t="s">
        <v>85</v>
      </c>
      <c r="P602" s="168" t="s">
        <v>85</v>
      </c>
      <c r="Q602" s="147">
        <v>10</v>
      </c>
      <c r="R602" s="168" t="s">
        <v>72</v>
      </c>
      <c r="S602" s="168" t="s">
        <v>73</v>
      </c>
      <c r="T602" s="168" t="s">
        <v>74</v>
      </c>
      <c r="U602" s="148">
        <v>45250000</v>
      </c>
      <c r="V602" s="148">
        <v>45250000</v>
      </c>
      <c r="W602" s="147" t="s">
        <v>75</v>
      </c>
      <c r="X602" s="147" t="s">
        <v>67</v>
      </c>
      <c r="Y602" s="168" t="s">
        <v>1064</v>
      </c>
      <c r="Z602" s="168" t="s">
        <v>1065</v>
      </c>
      <c r="AA602" s="147">
        <v>6012220601</v>
      </c>
      <c r="AB602" s="205" t="s">
        <v>1066</v>
      </c>
      <c r="AC602" s="14"/>
      <c r="AD602" s="14"/>
      <c r="AE602" s="14"/>
      <c r="AF602" s="14"/>
      <c r="AG602" s="14"/>
      <c r="AH602" s="14"/>
      <c r="AI602" s="14"/>
      <c r="AJ602" s="14"/>
      <c r="AK602" s="14"/>
      <c r="AL602" s="14"/>
      <c r="AM602" s="14"/>
      <c r="AN602" s="14"/>
      <c r="AO602" s="14"/>
      <c r="AP602" s="14"/>
      <c r="AQ602" s="14"/>
      <c r="AR602" s="14"/>
      <c r="AS602" s="14"/>
      <c r="AT602" s="14"/>
      <c r="AU602" s="25"/>
      <c r="AV602" s="25">
        <v>4525000</v>
      </c>
      <c r="AW602" s="25"/>
      <c r="AX602" s="25">
        <v>4525000</v>
      </c>
      <c r="AY602" s="25"/>
      <c r="AZ602" s="25">
        <v>4525000</v>
      </c>
      <c r="BA602" s="17"/>
      <c r="BB602" s="17"/>
      <c r="BC602" s="18">
        <f t="shared" si="259"/>
        <v>0</v>
      </c>
      <c r="BD602" s="18">
        <f t="shared" si="260"/>
        <v>13575000</v>
      </c>
      <c r="BE602" s="19">
        <f t="shared" si="261"/>
        <v>-13575000</v>
      </c>
      <c r="BF602" s="20">
        <f t="shared" si="262"/>
        <v>45250000</v>
      </c>
      <c r="BG602" s="20">
        <f t="shared" si="263"/>
        <v>31675000</v>
      </c>
    </row>
    <row r="603" spans="1:59" ht="14.25" customHeight="1">
      <c r="A603" s="147" t="s">
        <v>1311</v>
      </c>
      <c r="B603" s="147" t="s">
        <v>1057</v>
      </c>
      <c r="C603" s="151" t="s">
        <v>733</v>
      </c>
      <c r="D603" s="151" t="s">
        <v>62</v>
      </c>
      <c r="E603" s="151" t="s">
        <v>114</v>
      </c>
      <c r="F603" s="149" t="s">
        <v>1586</v>
      </c>
      <c r="G603" s="147" t="s">
        <v>733</v>
      </c>
      <c r="H603" s="147" t="s">
        <v>733</v>
      </c>
      <c r="I603" s="147" t="s">
        <v>733</v>
      </c>
      <c r="J603" s="164" t="s">
        <v>67</v>
      </c>
      <c r="K603" s="147" t="s">
        <v>1565</v>
      </c>
      <c r="L603" s="147" t="s">
        <v>1587</v>
      </c>
      <c r="M603" s="147" t="s">
        <v>1588</v>
      </c>
      <c r="N603" s="179" t="s">
        <v>733</v>
      </c>
      <c r="O603" s="179" t="s">
        <v>733</v>
      </c>
      <c r="P603" s="179" t="s">
        <v>733</v>
      </c>
      <c r="Q603" s="179" t="s">
        <v>733</v>
      </c>
      <c r="R603" s="147" t="s">
        <v>67</v>
      </c>
      <c r="S603" s="147" t="s">
        <v>67</v>
      </c>
      <c r="T603" s="147" t="s">
        <v>74</v>
      </c>
      <c r="U603" s="148">
        <v>16984554</v>
      </c>
      <c r="V603" s="148">
        <v>16984554</v>
      </c>
      <c r="W603" s="147" t="s">
        <v>75</v>
      </c>
      <c r="X603" s="147" t="s">
        <v>67</v>
      </c>
      <c r="Y603" s="147" t="s">
        <v>1064</v>
      </c>
      <c r="Z603" s="147" t="s">
        <v>1065</v>
      </c>
      <c r="AA603" s="147">
        <v>6012220601</v>
      </c>
      <c r="AB603" s="160" t="s">
        <v>1066</v>
      </c>
      <c r="AC603" s="14"/>
      <c r="AD603" s="14"/>
      <c r="AE603" s="14"/>
      <c r="AF603" s="14"/>
      <c r="AG603" s="14"/>
      <c r="AH603" s="14"/>
      <c r="AI603" s="14"/>
      <c r="AJ603" s="14"/>
      <c r="AK603" s="14"/>
      <c r="AL603" s="14"/>
      <c r="AM603" s="14"/>
      <c r="AN603" s="14"/>
      <c r="AO603" s="14"/>
      <c r="AP603" s="14"/>
      <c r="AQ603" s="14"/>
      <c r="AR603" s="14"/>
      <c r="AS603" s="14"/>
      <c r="AT603" s="14"/>
      <c r="AU603" s="46">
        <v>1363831</v>
      </c>
      <c r="AV603" s="46">
        <v>1363831</v>
      </c>
      <c r="AW603" s="46">
        <v>1363831</v>
      </c>
      <c r="AX603" s="46">
        <v>1363831</v>
      </c>
      <c r="AY603" s="46">
        <v>2994117</v>
      </c>
      <c r="AZ603" s="46">
        <v>2994117</v>
      </c>
      <c r="BA603" s="17"/>
      <c r="BB603" s="17"/>
      <c r="BC603" s="18">
        <f t="shared" si="259"/>
        <v>5721779</v>
      </c>
      <c r="BD603" s="18">
        <f t="shared" si="260"/>
        <v>5721779</v>
      </c>
      <c r="BE603" s="19">
        <f t="shared" si="261"/>
        <v>0</v>
      </c>
      <c r="BF603" s="20">
        <f t="shared" si="262"/>
        <v>11262775</v>
      </c>
      <c r="BG603" s="20">
        <f t="shared" si="263"/>
        <v>11262775</v>
      </c>
    </row>
    <row r="604" spans="1:59" ht="15.75" customHeight="1">
      <c r="A604" s="147" t="s">
        <v>1311</v>
      </c>
      <c r="B604" s="147" t="s">
        <v>1057</v>
      </c>
      <c r="C604" s="151" t="s">
        <v>733</v>
      </c>
      <c r="D604" s="151" t="s">
        <v>62</v>
      </c>
      <c r="E604" s="151">
        <v>12</v>
      </c>
      <c r="F604" s="149" t="s">
        <v>1589</v>
      </c>
      <c r="G604" s="147" t="s">
        <v>733</v>
      </c>
      <c r="H604" s="147" t="s">
        <v>733</v>
      </c>
      <c r="I604" s="147" t="s">
        <v>733</v>
      </c>
      <c r="J604" s="164">
        <v>80111620</v>
      </c>
      <c r="K604" s="168" t="s">
        <v>1416</v>
      </c>
      <c r="L604" s="168" t="s">
        <v>83</v>
      </c>
      <c r="M604" s="168" t="s">
        <v>1590</v>
      </c>
      <c r="N604" s="168" t="s">
        <v>86</v>
      </c>
      <c r="O604" s="168" t="s">
        <v>86</v>
      </c>
      <c r="P604" s="168" t="s">
        <v>86</v>
      </c>
      <c r="Q604" s="147">
        <v>9.4</v>
      </c>
      <c r="R604" s="168" t="s">
        <v>72</v>
      </c>
      <c r="S604" s="168" t="s">
        <v>73</v>
      </c>
      <c r="T604" s="147" t="s">
        <v>74</v>
      </c>
      <c r="U604" s="148">
        <v>35670180</v>
      </c>
      <c r="V604" s="148">
        <v>35670180</v>
      </c>
      <c r="W604" s="147" t="s">
        <v>75</v>
      </c>
      <c r="X604" s="147" t="s">
        <v>67</v>
      </c>
      <c r="Y604" s="147" t="s">
        <v>1064</v>
      </c>
      <c r="Z604" s="147" t="s">
        <v>1065</v>
      </c>
      <c r="AA604" s="147">
        <v>6012220601</v>
      </c>
      <c r="AB604" s="160" t="s">
        <v>1066</v>
      </c>
      <c r="AC604" s="14"/>
      <c r="AD604" s="14"/>
      <c r="AE604" s="14"/>
      <c r="AF604" s="14"/>
      <c r="AG604" s="14"/>
      <c r="AH604" s="14"/>
      <c r="AI604" s="14"/>
      <c r="AJ604" s="14"/>
      <c r="AK604" s="14"/>
      <c r="AL604" s="14"/>
      <c r="AM604" s="14"/>
      <c r="AN604" s="14"/>
      <c r="AO604" s="14"/>
      <c r="AP604" s="14"/>
      <c r="AQ604" s="14"/>
      <c r="AR604" s="14"/>
      <c r="AS604" s="14"/>
      <c r="AT604" s="14"/>
      <c r="AU604" s="55"/>
      <c r="AV604" s="55">
        <v>3794700</v>
      </c>
      <c r="AW604" s="55"/>
      <c r="AX604" s="55">
        <v>3794700</v>
      </c>
      <c r="AY604" s="55"/>
      <c r="AZ604" s="55">
        <v>7589400</v>
      </c>
      <c r="BA604" s="17"/>
      <c r="BB604" s="17"/>
      <c r="BC604" s="18">
        <f t="shared" si="259"/>
        <v>0</v>
      </c>
      <c r="BD604" s="18">
        <f t="shared" si="260"/>
        <v>15178800</v>
      </c>
      <c r="BE604" s="19">
        <f t="shared" si="261"/>
        <v>-15178800</v>
      </c>
      <c r="BF604" s="20">
        <f t="shared" si="262"/>
        <v>35670180</v>
      </c>
      <c r="BG604" s="20">
        <f t="shared" si="263"/>
        <v>20491380</v>
      </c>
    </row>
    <row r="605" spans="1:59" ht="15.75" customHeight="1">
      <c r="A605" s="147" t="s">
        <v>1311</v>
      </c>
      <c r="B605" s="147" t="s">
        <v>1057</v>
      </c>
      <c r="C605" s="151" t="s">
        <v>733</v>
      </c>
      <c r="D605" s="151" t="s">
        <v>62</v>
      </c>
      <c r="E605" s="151">
        <v>40</v>
      </c>
      <c r="F605" s="149" t="s">
        <v>1591</v>
      </c>
      <c r="G605" s="147" t="s">
        <v>733</v>
      </c>
      <c r="H605" s="147" t="s">
        <v>733</v>
      </c>
      <c r="I605" s="147" t="s">
        <v>733</v>
      </c>
      <c r="J605" s="164">
        <v>80111620</v>
      </c>
      <c r="K605" s="168" t="s">
        <v>1416</v>
      </c>
      <c r="L605" s="168" t="s">
        <v>83</v>
      </c>
      <c r="M605" s="168" t="s">
        <v>1592</v>
      </c>
      <c r="N605" s="168" t="s">
        <v>142</v>
      </c>
      <c r="O605" s="168" t="s">
        <v>71</v>
      </c>
      <c r="P605" s="168" t="s">
        <v>71</v>
      </c>
      <c r="Q605" s="147">
        <v>4</v>
      </c>
      <c r="R605" s="168" t="s">
        <v>72</v>
      </c>
      <c r="S605" s="168" t="s">
        <v>73</v>
      </c>
      <c r="T605" s="147" t="s">
        <v>74</v>
      </c>
      <c r="U605" s="148">
        <v>24050000</v>
      </c>
      <c r="V605" s="148">
        <v>24050000</v>
      </c>
      <c r="W605" s="147" t="s">
        <v>75</v>
      </c>
      <c r="X605" s="147" t="s">
        <v>67</v>
      </c>
      <c r="Y605" s="147" t="s">
        <v>1064</v>
      </c>
      <c r="Z605" s="147" t="s">
        <v>1065</v>
      </c>
      <c r="AA605" s="147">
        <v>6012220601</v>
      </c>
      <c r="AB605" s="160" t="s">
        <v>1066</v>
      </c>
      <c r="AC605" s="14"/>
      <c r="AD605" s="14"/>
      <c r="AE605" s="14"/>
      <c r="AF605" s="14"/>
      <c r="AG605" s="14"/>
      <c r="AH605" s="14"/>
      <c r="AI605" s="14"/>
      <c r="AJ605" s="14"/>
      <c r="AK605" s="14"/>
      <c r="AL605" s="14"/>
      <c r="AM605" s="14"/>
      <c r="AN605" s="14"/>
      <c r="AO605" s="14"/>
      <c r="AP605" s="14"/>
      <c r="AQ605" s="14"/>
      <c r="AR605" s="14"/>
      <c r="AS605" s="14"/>
      <c r="AT605" s="14"/>
      <c r="AU605" s="55"/>
      <c r="AV605" s="55">
        <v>4550000</v>
      </c>
      <c r="AW605" s="55"/>
      <c r="AX605" s="55">
        <v>6500000</v>
      </c>
      <c r="AY605" s="55"/>
      <c r="AZ605" s="55">
        <v>13000000</v>
      </c>
      <c r="BA605" s="17"/>
      <c r="BB605" s="17"/>
      <c r="BC605" s="18">
        <f t="shared" si="259"/>
        <v>0</v>
      </c>
      <c r="BD605" s="18">
        <f t="shared" si="260"/>
        <v>24050000</v>
      </c>
      <c r="BE605" s="19">
        <f t="shared" si="261"/>
        <v>-24050000</v>
      </c>
      <c r="BF605" s="20">
        <f t="shared" si="262"/>
        <v>24050000</v>
      </c>
      <c r="BG605" s="20">
        <f t="shared" si="263"/>
        <v>0</v>
      </c>
    </row>
    <row r="606" spans="1:59" ht="15.75" customHeight="1">
      <c r="A606" s="147" t="s">
        <v>1311</v>
      </c>
      <c r="B606" s="147" t="s">
        <v>1057</v>
      </c>
      <c r="C606" s="151" t="s">
        <v>733</v>
      </c>
      <c r="D606" s="151" t="s">
        <v>62</v>
      </c>
      <c r="E606" s="151">
        <v>26</v>
      </c>
      <c r="F606" s="149" t="s">
        <v>1593</v>
      </c>
      <c r="G606" s="147" t="s">
        <v>733</v>
      </c>
      <c r="H606" s="147" t="s">
        <v>733</v>
      </c>
      <c r="I606" s="147" t="s">
        <v>733</v>
      </c>
      <c r="J606" s="164">
        <v>80111620</v>
      </c>
      <c r="K606" s="168" t="s">
        <v>1416</v>
      </c>
      <c r="L606" s="168" t="s">
        <v>83</v>
      </c>
      <c r="M606" s="168" t="s">
        <v>1594</v>
      </c>
      <c r="N606" s="168" t="s">
        <v>127</v>
      </c>
      <c r="O606" s="168" t="s">
        <v>127</v>
      </c>
      <c r="P606" s="168" t="s">
        <v>127</v>
      </c>
      <c r="Q606" s="147">
        <v>7</v>
      </c>
      <c r="R606" s="168" t="s">
        <v>72</v>
      </c>
      <c r="S606" s="168" t="s">
        <v>73</v>
      </c>
      <c r="T606" s="147" t="s">
        <v>74</v>
      </c>
      <c r="U606" s="148">
        <v>23326695</v>
      </c>
      <c r="V606" s="148">
        <v>23326695</v>
      </c>
      <c r="W606" s="147" t="s">
        <v>75</v>
      </c>
      <c r="X606" s="147" t="s">
        <v>67</v>
      </c>
      <c r="Y606" s="147" t="s">
        <v>1064</v>
      </c>
      <c r="Z606" s="147" t="s">
        <v>1065</v>
      </c>
      <c r="AA606" s="147">
        <v>6012220601</v>
      </c>
      <c r="AB606" s="160" t="s">
        <v>1066</v>
      </c>
      <c r="AC606" s="14"/>
      <c r="AD606" s="14"/>
      <c r="AE606" s="14"/>
      <c r="AF606" s="14"/>
      <c r="AG606" s="14"/>
      <c r="AH606" s="14"/>
      <c r="AI606" s="14"/>
      <c r="AJ606" s="14"/>
      <c r="AK606" s="14"/>
      <c r="AL606" s="14"/>
      <c r="AM606" s="14"/>
      <c r="AN606" s="14"/>
      <c r="AO606" s="14"/>
      <c r="AP606" s="14"/>
      <c r="AQ606" s="14"/>
      <c r="AR606" s="14"/>
      <c r="AS606" s="14"/>
      <c r="AT606" s="14"/>
      <c r="AU606" s="55"/>
      <c r="AV606" s="55">
        <v>3285450</v>
      </c>
      <c r="AW606" s="55"/>
      <c r="AX606" s="55">
        <v>3285450</v>
      </c>
      <c r="AY606" s="55"/>
      <c r="AZ606" s="55">
        <v>6570900</v>
      </c>
      <c r="BA606" s="17"/>
      <c r="BB606" s="17"/>
      <c r="BC606" s="18">
        <f t="shared" si="259"/>
        <v>0</v>
      </c>
      <c r="BD606" s="18">
        <f t="shared" si="260"/>
        <v>13141800</v>
      </c>
      <c r="BE606" s="19">
        <f t="shared" si="261"/>
        <v>-13141800</v>
      </c>
      <c r="BF606" s="20">
        <f t="shared" si="262"/>
        <v>23326695</v>
      </c>
      <c r="BG606" s="20">
        <f t="shared" si="263"/>
        <v>10184895</v>
      </c>
    </row>
    <row r="607" spans="1:59" ht="15.75" customHeight="1">
      <c r="A607" s="147" t="s">
        <v>1311</v>
      </c>
      <c r="B607" s="147" t="s">
        <v>1057</v>
      </c>
      <c r="C607" s="151" t="s">
        <v>733</v>
      </c>
      <c r="D607" s="151" t="s">
        <v>62</v>
      </c>
      <c r="E607" s="151">
        <v>26</v>
      </c>
      <c r="F607" s="149" t="s">
        <v>1595</v>
      </c>
      <c r="G607" s="147" t="s">
        <v>733</v>
      </c>
      <c r="H607" s="147" t="s">
        <v>733</v>
      </c>
      <c r="I607" s="147" t="s">
        <v>733</v>
      </c>
      <c r="J607" s="164">
        <v>80111620</v>
      </c>
      <c r="K607" s="168" t="s">
        <v>1416</v>
      </c>
      <c r="L607" s="168" t="s">
        <v>83</v>
      </c>
      <c r="M607" s="168" t="s">
        <v>1596</v>
      </c>
      <c r="N607" s="168" t="s">
        <v>128</v>
      </c>
      <c r="O607" s="168" t="s">
        <v>128</v>
      </c>
      <c r="P607" s="168" t="s">
        <v>128</v>
      </c>
      <c r="Q607" s="147">
        <v>7</v>
      </c>
      <c r="R607" s="168" t="s">
        <v>72</v>
      </c>
      <c r="S607" s="168" t="s">
        <v>73</v>
      </c>
      <c r="T607" s="147" t="s">
        <v>74</v>
      </c>
      <c r="U607" s="148">
        <v>22669605</v>
      </c>
      <c r="V607" s="148">
        <v>22669605</v>
      </c>
      <c r="W607" s="147" t="s">
        <v>75</v>
      </c>
      <c r="X607" s="147" t="s">
        <v>67</v>
      </c>
      <c r="Y607" s="147" t="s">
        <v>1064</v>
      </c>
      <c r="Z607" s="147" t="s">
        <v>1065</v>
      </c>
      <c r="AA607" s="147">
        <v>6012220601</v>
      </c>
      <c r="AB607" s="160" t="s">
        <v>1066</v>
      </c>
      <c r="AC607" s="14"/>
      <c r="AD607" s="14"/>
      <c r="AE607" s="14"/>
      <c r="AF607" s="14"/>
      <c r="AG607" s="14"/>
      <c r="AH607" s="14"/>
      <c r="AI607" s="14"/>
      <c r="AJ607" s="14"/>
      <c r="AK607" s="14"/>
      <c r="AL607" s="14"/>
      <c r="AM607" s="14"/>
      <c r="AN607" s="14"/>
      <c r="AO607" s="14"/>
      <c r="AP607" s="14"/>
      <c r="AQ607" s="14"/>
      <c r="AR607" s="14"/>
      <c r="AS607" s="14"/>
      <c r="AT607" s="14"/>
      <c r="AU607" s="55"/>
      <c r="AV607" s="55">
        <v>3285450</v>
      </c>
      <c r="AW607" s="55"/>
      <c r="AX607" s="55">
        <v>3285450</v>
      </c>
      <c r="AY607" s="55"/>
      <c r="AZ607" s="55">
        <v>6570900</v>
      </c>
      <c r="BA607" s="17"/>
      <c r="BB607" s="17"/>
      <c r="BC607" s="18">
        <f t="shared" si="259"/>
        <v>0</v>
      </c>
      <c r="BD607" s="18">
        <f t="shared" si="260"/>
        <v>13141800</v>
      </c>
      <c r="BE607" s="19">
        <f t="shared" si="261"/>
        <v>-13141800</v>
      </c>
      <c r="BF607" s="20">
        <f t="shared" si="262"/>
        <v>22669605</v>
      </c>
      <c r="BG607" s="20">
        <f t="shared" si="263"/>
        <v>9527805</v>
      </c>
    </row>
    <row r="608" spans="1:59" ht="15.75" customHeight="1">
      <c r="A608" s="147" t="s">
        <v>1311</v>
      </c>
      <c r="B608" s="147" t="s">
        <v>1057</v>
      </c>
      <c r="C608" s="151" t="s">
        <v>733</v>
      </c>
      <c r="D608" s="151" t="s">
        <v>62</v>
      </c>
      <c r="E608" s="151">
        <v>41</v>
      </c>
      <c r="F608" s="149" t="s">
        <v>1597</v>
      </c>
      <c r="G608" s="147" t="s">
        <v>733</v>
      </c>
      <c r="H608" s="147" t="s">
        <v>733</v>
      </c>
      <c r="I608" s="147" t="s">
        <v>733</v>
      </c>
      <c r="J608" s="164">
        <v>80111620</v>
      </c>
      <c r="K608" s="168" t="s">
        <v>1416</v>
      </c>
      <c r="L608" s="168" t="s">
        <v>83</v>
      </c>
      <c r="M608" s="168" t="s">
        <v>1598</v>
      </c>
      <c r="N608" s="168" t="s">
        <v>142</v>
      </c>
      <c r="O608" s="168" t="s">
        <v>142</v>
      </c>
      <c r="P608" s="168" t="s">
        <v>142</v>
      </c>
      <c r="Q608" s="147">
        <v>12</v>
      </c>
      <c r="R608" s="168" t="s">
        <v>72</v>
      </c>
      <c r="S608" s="168" t="s">
        <v>73</v>
      </c>
      <c r="T608" s="147" t="s">
        <v>74</v>
      </c>
      <c r="U608" s="148">
        <v>150000000</v>
      </c>
      <c r="V608" s="148">
        <v>150000000</v>
      </c>
      <c r="W608" s="147" t="s">
        <v>75</v>
      </c>
      <c r="X608" s="147" t="s">
        <v>67</v>
      </c>
      <c r="Y608" s="147" t="s">
        <v>1064</v>
      </c>
      <c r="Z608" s="147" t="s">
        <v>1065</v>
      </c>
      <c r="AA608" s="147">
        <v>6012220601</v>
      </c>
      <c r="AB608" s="160" t="s">
        <v>1066</v>
      </c>
      <c r="AC608" s="14"/>
      <c r="AD608" s="14"/>
      <c r="AE608" s="14"/>
      <c r="AF608" s="14"/>
      <c r="AG608" s="14"/>
      <c r="AH608" s="14"/>
      <c r="AI608" s="14"/>
      <c r="AJ608" s="14"/>
      <c r="AK608" s="14"/>
      <c r="AL608" s="14"/>
      <c r="AM608" s="14"/>
      <c r="AN608" s="14"/>
      <c r="AO608" s="14"/>
      <c r="AP608" s="14"/>
      <c r="AQ608" s="14"/>
      <c r="AR608" s="14"/>
      <c r="AS608" s="14"/>
      <c r="AT608" s="14"/>
      <c r="AU608" s="55"/>
      <c r="AV608" s="55"/>
      <c r="AW608" s="55"/>
      <c r="AX608" s="55"/>
      <c r="AY608" s="55"/>
      <c r="AZ608" s="55">
        <v>100000000</v>
      </c>
      <c r="BA608" s="17"/>
      <c r="BB608" s="17"/>
      <c r="BC608" s="18">
        <f t="shared" si="259"/>
        <v>0</v>
      </c>
      <c r="BD608" s="18">
        <f t="shared" si="260"/>
        <v>100000000</v>
      </c>
      <c r="BE608" s="19">
        <f t="shared" si="261"/>
        <v>-100000000</v>
      </c>
      <c r="BF608" s="20">
        <f t="shared" si="262"/>
        <v>150000000</v>
      </c>
      <c r="BG608" s="20">
        <f t="shared" si="263"/>
        <v>50000000</v>
      </c>
    </row>
    <row r="609" spans="1:59" ht="15.75" customHeight="1">
      <c r="A609" s="153" t="s">
        <v>1311</v>
      </c>
      <c r="B609" s="153" t="s">
        <v>1057</v>
      </c>
      <c r="C609" s="154" t="s">
        <v>733</v>
      </c>
      <c r="D609" s="154" t="s">
        <v>62</v>
      </c>
      <c r="E609" s="151">
        <v>31</v>
      </c>
      <c r="F609" s="149" t="s">
        <v>1599</v>
      </c>
      <c r="G609" s="153" t="s">
        <v>733</v>
      </c>
      <c r="H609" s="153" t="s">
        <v>733</v>
      </c>
      <c r="I609" s="153" t="s">
        <v>733</v>
      </c>
      <c r="J609" s="208">
        <v>80111620</v>
      </c>
      <c r="K609" s="169" t="s">
        <v>1416</v>
      </c>
      <c r="L609" s="169" t="s">
        <v>83</v>
      </c>
      <c r="M609" s="147" t="s">
        <v>1600</v>
      </c>
      <c r="N609" s="147" t="s">
        <v>127</v>
      </c>
      <c r="O609" s="147" t="s">
        <v>127</v>
      </c>
      <c r="P609" s="147" t="s">
        <v>127</v>
      </c>
      <c r="Q609" s="147">
        <v>8</v>
      </c>
      <c r="R609" s="169" t="s">
        <v>72</v>
      </c>
      <c r="S609" s="169" t="s">
        <v>73</v>
      </c>
      <c r="T609" s="147" t="s">
        <v>74</v>
      </c>
      <c r="U609" s="148">
        <v>47568480</v>
      </c>
      <c r="V609" s="148">
        <v>47568480</v>
      </c>
      <c r="W609" s="153" t="s">
        <v>75</v>
      </c>
      <c r="X609" s="153" t="s">
        <v>67</v>
      </c>
      <c r="Y609" s="153" t="s">
        <v>1064</v>
      </c>
      <c r="Z609" s="153" t="s">
        <v>1065</v>
      </c>
      <c r="AA609" s="153">
        <v>6012220601</v>
      </c>
      <c r="AB609" s="209" t="s">
        <v>1066</v>
      </c>
      <c r="AC609" s="54"/>
      <c r="AD609" s="54"/>
      <c r="AE609" s="54"/>
      <c r="AF609" s="54"/>
      <c r="AG609" s="54"/>
      <c r="AH609" s="54"/>
      <c r="AI609" s="54"/>
      <c r="AJ609" s="54"/>
      <c r="AK609" s="54"/>
      <c r="AL609" s="54"/>
      <c r="AM609" s="54"/>
      <c r="AN609" s="54"/>
      <c r="AO609" s="54"/>
      <c r="AP609" s="54"/>
      <c r="AQ609" s="54"/>
      <c r="AR609" s="54"/>
      <c r="AS609" s="54"/>
      <c r="AT609" s="54"/>
      <c r="AU609" s="54"/>
      <c r="AV609" s="103">
        <v>9516000</v>
      </c>
      <c r="AW609" s="54"/>
      <c r="AX609" s="103">
        <v>9513000</v>
      </c>
      <c r="AY609" s="54"/>
      <c r="AZ609" s="103">
        <v>9513000</v>
      </c>
      <c r="BA609" s="17"/>
      <c r="BB609" s="17"/>
      <c r="BC609" s="18">
        <f t="shared" si="259"/>
        <v>0</v>
      </c>
      <c r="BD609" s="18">
        <f t="shared" si="260"/>
        <v>28542000</v>
      </c>
      <c r="BE609" s="19">
        <f t="shared" si="261"/>
        <v>-28542000</v>
      </c>
      <c r="BF609" s="20">
        <f t="shared" si="262"/>
        <v>47568480</v>
      </c>
      <c r="BG609" s="20">
        <f t="shared" si="263"/>
        <v>19026480</v>
      </c>
    </row>
    <row r="610" spans="1:59" ht="14.25" customHeight="1">
      <c r="A610" s="153" t="s">
        <v>1311</v>
      </c>
      <c r="B610" s="153" t="s">
        <v>1057</v>
      </c>
      <c r="C610" s="154" t="s">
        <v>733</v>
      </c>
      <c r="D610" s="154" t="s">
        <v>62</v>
      </c>
      <c r="E610" s="151">
        <v>26</v>
      </c>
      <c r="F610" s="149" t="s">
        <v>1601</v>
      </c>
      <c r="G610" s="153" t="s">
        <v>733</v>
      </c>
      <c r="H610" s="153" t="s">
        <v>733</v>
      </c>
      <c r="I610" s="153" t="s">
        <v>733</v>
      </c>
      <c r="J610" s="208">
        <v>80111620</v>
      </c>
      <c r="K610" s="168" t="s">
        <v>1602</v>
      </c>
      <c r="L610" s="169" t="s">
        <v>83</v>
      </c>
      <c r="M610" s="147" t="s">
        <v>1603</v>
      </c>
      <c r="N610" s="147" t="s">
        <v>128</v>
      </c>
      <c r="O610" s="147" t="s">
        <v>128</v>
      </c>
      <c r="P610" s="147" t="s">
        <v>128</v>
      </c>
      <c r="Q610" s="147">
        <v>7</v>
      </c>
      <c r="R610" s="169" t="s">
        <v>72</v>
      </c>
      <c r="S610" s="169" t="s">
        <v>73</v>
      </c>
      <c r="T610" s="147" t="s">
        <v>74</v>
      </c>
      <c r="U610" s="148">
        <v>22669605</v>
      </c>
      <c r="V610" s="148">
        <v>22669605</v>
      </c>
      <c r="W610" s="153" t="s">
        <v>75</v>
      </c>
      <c r="X610" s="153" t="s">
        <v>67</v>
      </c>
      <c r="Y610" s="153" t="s">
        <v>1064</v>
      </c>
      <c r="Z610" s="153" t="s">
        <v>1065</v>
      </c>
      <c r="AA610" s="153">
        <v>6012220601</v>
      </c>
      <c r="AB610" s="209" t="s">
        <v>1066</v>
      </c>
      <c r="AC610" s="54"/>
      <c r="AD610" s="54"/>
      <c r="AE610" s="54"/>
      <c r="AF610" s="54"/>
      <c r="AG610" s="54"/>
      <c r="AH610" s="54"/>
      <c r="AI610" s="54"/>
      <c r="AJ610" s="54"/>
      <c r="AK610" s="54"/>
      <c r="AL610" s="54"/>
      <c r="AM610" s="54"/>
      <c r="AN610" s="54"/>
      <c r="AO610" s="54"/>
      <c r="AP610" s="54"/>
      <c r="AQ610" s="54"/>
      <c r="AR610" s="54"/>
      <c r="AS610" s="54"/>
      <c r="AT610" s="54"/>
      <c r="AU610" s="104"/>
      <c r="AV610" s="105">
        <v>3285450</v>
      </c>
      <c r="AW610" s="104"/>
      <c r="AX610" s="105">
        <v>3285450</v>
      </c>
      <c r="AY610" s="104"/>
      <c r="AZ610" s="105">
        <v>6570900</v>
      </c>
      <c r="BA610" s="106"/>
      <c r="BB610" s="106"/>
      <c r="BC610" s="18">
        <f t="shared" si="259"/>
        <v>0</v>
      </c>
      <c r="BD610" s="18">
        <f t="shared" si="260"/>
        <v>13141800</v>
      </c>
      <c r="BE610" s="19">
        <f t="shared" si="261"/>
        <v>-13141800</v>
      </c>
      <c r="BF610" s="20">
        <f t="shared" si="262"/>
        <v>22669605</v>
      </c>
      <c r="BG610" s="20">
        <f t="shared" si="263"/>
        <v>9527805</v>
      </c>
    </row>
    <row r="611" spans="1:59" ht="14.25" customHeight="1">
      <c r="A611" s="153" t="s">
        <v>1311</v>
      </c>
      <c r="B611" s="153" t="s">
        <v>1057</v>
      </c>
      <c r="C611" s="154" t="s">
        <v>733</v>
      </c>
      <c r="D611" s="154" t="s">
        <v>62</v>
      </c>
      <c r="E611" s="151">
        <v>40</v>
      </c>
      <c r="F611" s="149" t="s">
        <v>1604</v>
      </c>
      <c r="G611" s="153" t="s">
        <v>733</v>
      </c>
      <c r="H611" s="153" t="s">
        <v>733</v>
      </c>
      <c r="I611" s="153" t="s">
        <v>733</v>
      </c>
      <c r="J611" s="208">
        <v>80111620</v>
      </c>
      <c r="K611" s="168" t="s">
        <v>1602</v>
      </c>
      <c r="L611" s="169" t="s">
        <v>83</v>
      </c>
      <c r="M611" s="147" t="s">
        <v>1605</v>
      </c>
      <c r="N611" s="168" t="s">
        <v>142</v>
      </c>
      <c r="O611" s="168" t="s">
        <v>71</v>
      </c>
      <c r="P611" s="147" t="s">
        <v>71</v>
      </c>
      <c r="Q611" s="147">
        <v>4</v>
      </c>
      <c r="R611" s="169" t="s">
        <v>72</v>
      </c>
      <c r="S611" s="169" t="s">
        <v>73</v>
      </c>
      <c r="T611" s="147" t="s">
        <v>74</v>
      </c>
      <c r="U611" s="148">
        <v>31450000</v>
      </c>
      <c r="V611" s="148">
        <v>31450000</v>
      </c>
      <c r="W611" s="153" t="s">
        <v>75</v>
      </c>
      <c r="X611" s="153" t="s">
        <v>67</v>
      </c>
      <c r="Y611" s="153" t="s">
        <v>1606</v>
      </c>
      <c r="Z611" s="153" t="s">
        <v>1607</v>
      </c>
      <c r="AA611" s="153">
        <v>6012220601</v>
      </c>
      <c r="AB611" s="209" t="s">
        <v>1608</v>
      </c>
      <c r="AC611" s="54"/>
      <c r="AD611" s="54"/>
      <c r="AE611" s="54"/>
      <c r="AF611" s="54"/>
      <c r="AG611" s="54"/>
      <c r="AH611" s="54"/>
      <c r="AI611" s="54"/>
      <c r="AJ611" s="54"/>
      <c r="AK611" s="54"/>
      <c r="AL611" s="54"/>
      <c r="AM611" s="54"/>
      <c r="AN611" s="54"/>
      <c r="AO611" s="54"/>
      <c r="AP611" s="54"/>
      <c r="AQ611" s="54"/>
      <c r="AR611" s="54"/>
      <c r="AS611" s="54"/>
      <c r="AT611" s="54"/>
      <c r="AU611" s="54"/>
      <c r="AV611" s="103">
        <v>5950000</v>
      </c>
      <c r="AW611" s="54"/>
      <c r="AX611" s="103">
        <v>8500000</v>
      </c>
      <c r="AY611" s="54"/>
      <c r="AZ611" s="103">
        <v>17000000</v>
      </c>
      <c r="BA611" s="17"/>
      <c r="BB611" s="17"/>
      <c r="BC611" s="18">
        <f t="shared" si="259"/>
        <v>0</v>
      </c>
      <c r="BD611" s="18">
        <f t="shared" si="260"/>
        <v>31450000</v>
      </c>
      <c r="BE611" s="19">
        <f t="shared" si="261"/>
        <v>-31450000</v>
      </c>
      <c r="BF611" s="20">
        <f t="shared" si="262"/>
        <v>31450000</v>
      </c>
      <c r="BG611" s="20">
        <f t="shared" si="263"/>
        <v>0</v>
      </c>
    </row>
    <row r="612" spans="1:59" ht="14.25" customHeight="1">
      <c r="A612" s="153" t="s">
        <v>1311</v>
      </c>
      <c r="B612" s="153" t="s">
        <v>1057</v>
      </c>
      <c r="C612" s="154" t="s">
        <v>733</v>
      </c>
      <c r="D612" s="154" t="s">
        <v>62</v>
      </c>
      <c r="E612" s="151">
        <v>44</v>
      </c>
      <c r="F612" s="149" t="s">
        <v>1609</v>
      </c>
      <c r="G612" s="153" t="s">
        <v>733</v>
      </c>
      <c r="H612" s="153" t="s">
        <v>733</v>
      </c>
      <c r="I612" s="153" t="s">
        <v>733</v>
      </c>
      <c r="J612" s="208">
        <v>80111620</v>
      </c>
      <c r="K612" s="168" t="s">
        <v>1602</v>
      </c>
      <c r="L612" s="169" t="s">
        <v>83</v>
      </c>
      <c r="M612" s="147" t="s">
        <v>1610</v>
      </c>
      <c r="N612" s="147" t="s">
        <v>100</v>
      </c>
      <c r="O612" s="147" t="s">
        <v>100</v>
      </c>
      <c r="P612" s="147" t="s">
        <v>142</v>
      </c>
      <c r="Q612" s="147">
        <v>5</v>
      </c>
      <c r="R612" s="169" t="s">
        <v>72</v>
      </c>
      <c r="S612" s="169" t="s">
        <v>73</v>
      </c>
      <c r="T612" s="147" t="s">
        <v>74</v>
      </c>
      <c r="U612" s="148">
        <v>0</v>
      </c>
      <c r="V612" s="148">
        <v>0</v>
      </c>
      <c r="W612" s="153" t="s">
        <v>75</v>
      </c>
      <c r="X612" s="153" t="s">
        <v>67</v>
      </c>
      <c r="Y612" s="147" t="s">
        <v>1606</v>
      </c>
      <c r="Z612" s="153" t="s">
        <v>1607</v>
      </c>
      <c r="AA612" s="153">
        <v>6012220601</v>
      </c>
      <c r="AB612" s="209" t="s">
        <v>1608</v>
      </c>
      <c r="AC612" s="54"/>
      <c r="AD612" s="54"/>
      <c r="AE612" s="54"/>
      <c r="AF612" s="54"/>
      <c r="AG612" s="54"/>
      <c r="AH612" s="54"/>
      <c r="AI612" s="54"/>
      <c r="AJ612" s="54"/>
      <c r="AK612" s="54"/>
      <c r="AL612" s="54"/>
      <c r="AM612" s="54"/>
      <c r="AN612" s="54"/>
      <c r="AO612" s="54"/>
      <c r="AP612" s="54"/>
      <c r="AQ612" s="54"/>
      <c r="AR612" s="54"/>
      <c r="AS612" s="54"/>
      <c r="AT612" s="54"/>
      <c r="AU612" s="54"/>
      <c r="AV612" s="103">
        <v>7366800</v>
      </c>
      <c r="AW612" s="54"/>
      <c r="AX612" s="103">
        <v>7366800</v>
      </c>
      <c r="AY612" s="54"/>
      <c r="AZ612" s="103">
        <v>14733600</v>
      </c>
      <c r="BA612" s="17"/>
      <c r="BB612" s="17"/>
      <c r="BC612" s="18">
        <f t="shared" si="259"/>
        <v>0</v>
      </c>
      <c r="BD612" s="18">
        <f t="shared" si="260"/>
        <v>29467200</v>
      </c>
      <c r="BE612" s="19">
        <f t="shared" si="261"/>
        <v>-29467200</v>
      </c>
      <c r="BF612" s="20">
        <f t="shared" si="262"/>
        <v>0</v>
      </c>
      <c r="BG612" s="20">
        <f t="shared" si="263"/>
        <v>-29467200</v>
      </c>
    </row>
    <row r="613" spans="1:59" ht="14.25" customHeight="1">
      <c r="A613" s="153" t="s">
        <v>1311</v>
      </c>
      <c r="B613" s="153" t="s">
        <v>1057</v>
      </c>
      <c r="C613" s="154" t="s">
        <v>733</v>
      </c>
      <c r="D613" s="154" t="s">
        <v>62</v>
      </c>
      <c r="E613" s="151">
        <v>40</v>
      </c>
      <c r="F613" s="149" t="s">
        <v>1611</v>
      </c>
      <c r="G613" s="153" t="s">
        <v>733</v>
      </c>
      <c r="H613" s="153" t="s">
        <v>733</v>
      </c>
      <c r="I613" s="153" t="s">
        <v>733</v>
      </c>
      <c r="J613" s="208">
        <v>80111620</v>
      </c>
      <c r="K613" s="147" t="s">
        <v>1612</v>
      </c>
      <c r="L613" s="169" t="s">
        <v>83</v>
      </c>
      <c r="M613" s="147" t="s">
        <v>1613</v>
      </c>
      <c r="N613" s="168" t="s">
        <v>142</v>
      </c>
      <c r="O613" s="168" t="s">
        <v>71</v>
      </c>
      <c r="P613" s="147" t="s">
        <v>71</v>
      </c>
      <c r="Q613" s="147">
        <v>3.7</v>
      </c>
      <c r="R613" s="169" t="s">
        <v>72</v>
      </c>
      <c r="S613" s="169" t="s">
        <v>73</v>
      </c>
      <c r="T613" s="147" t="s">
        <v>74</v>
      </c>
      <c r="U613" s="148">
        <v>37000000</v>
      </c>
      <c r="V613" s="148">
        <v>37000000</v>
      </c>
      <c r="W613" s="153" t="s">
        <v>75</v>
      </c>
      <c r="X613" s="153" t="s">
        <v>67</v>
      </c>
      <c r="Y613" s="147" t="s">
        <v>1123</v>
      </c>
      <c r="Z613" s="153" t="s">
        <v>1607</v>
      </c>
      <c r="AA613" s="153">
        <v>6012220601</v>
      </c>
      <c r="AB613" s="209" t="s">
        <v>1608</v>
      </c>
      <c r="AC613" s="54"/>
      <c r="AD613" s="54"/>
      <c r="AE613" s="54"/>
      <c r="AF613" s="54"/>
      <c r="AG613" s="54"/>
      <c r="AH613" s="54"/>
      <c r="AI613" s="54"/>
      <c r="AJ613" s="54"/>
      <c r="AK613" s="54"/>
      <c r="AL613" s="54"/>
      <c r="AM613" s="54"/>
      <c r="AN613" s="54"/>
      <c r="AO613" s="54"/>
      <c r="AP613" s="54"/>
      <c r="AQ613" s="54"/>
      <c r="AR613" s="54"/>
      <c r="AS613" s="54"/>
      <c r="AT613" s="54"/>
      <c r="AU613" s="54"/>
      <c r="AV613" s="103">
        <v>7000000</v>
      </c>
      <c r="AW613" s="54"/>
      <c r="AX613" s="103">
        <v>10000000</v>
      </c>
      <c r="AY613" s="54"/>
      <c r="AZ613" s="103">
        <v>20000000</v>
      </c>
      <c r="BA613" s="17"/>
      <c r="BB613" s="17"/>
      <c r="BC613" s="18">
        <f t="shared" si="259"/>
        <v>0</v>
      </c>
      <c r="BD613" s="18">
        <f t="shared" si="260"/>
        <v>37000000</v>
      </c>
      <c r="BE613" s="19">
        <f t="shared" si="261"/>
        <v>-37000000</v>
      </c>
      <c r="BF613" s="20">
        <f t="shared" si="262"/>
        <v>37000000</v>
      </c>
      <c r="BG613" s="20">
        <f t="shared" si="263"/>
        <v>0</v>
      </c>
    </row>
    <row r="614" spans="1:59" ht="14.25" customHeight="1">
      <c r="A614" s="153" t="s">
        <v>1311</v>
      </c>
      <c r="B614" s="153" t="s">
        <v>1057</v>
      </c>
      <c r="C614" s="154" t="s">
        <v>733</v>
      </c>
      <c r="D614" s="154" t="s">
        <v>62</v>
      </c>
      <c r="E614" s="151">
        <v>40</v>
      </c>
      <c r="F614" s="149" t="s">
        <v>1614</v>
      </c>
      <c r="G614" s="153" t="s">
        <v>733</v>
      </c>
      <c r="H614" s="153" t="s">
        <v>733</v>
      </c>
      <c r="I614" s="153" t="s">
        <v>733</v>
      </c>
      <c r="J614" s="208">
        <v>80111620</v>
      </c>
      <c r="K614" s="147" t="s">
        <v>1612</v>
      </c>
      <c r="L614" s="169" t="s">
        <v>83</v>
      </c>
      <c r="M614" s="147" t="s">
        <v>1615</v>
      </c>
      <c r="N614" s="168" t="s">
        <v>142</v>
      </c>
      <c r="O614" s="168" t="s">
        <v>71</v>
      </c>
      <c r="P614" s="147" t="s">
        <v>71</v>
      </c>
      <c r="Q614" s="147">
        <v>3.7</v>
      </c>
      <c r="R614" s="169" t="s">
        <v>72</v>
      </c>
      <c r="S614" s="169" t="s">
        <v>73</v>
      </c>
      <c r="T614" s="147" t="s">
        <v>74</v>
      </c>
      <c r="U614" s="148">
        <v>18500000</v>
      </c>
      <c r="V614" s="148">
        <v>18500000</v>
      </c>
      <c r="W614" s="153" t="s">
        <v>75</v>
      </c>
      <c r="X614" s="153" t="s">
        <v>67</v>
      </c>
      <c r="Y614" s="147" t="s">
        <v>1123</v>
      </c>
      <c r="Z614" s="153" t="s">
        <v>1607</v>
      </c>
      <c r="AA614" s="153">
        <v>6012220601</v>
      </c>
      <c r="AB614" s="209" t="s">
        <v>1608</v>
      </c>
      <c r="AC614" s="54"/>
      <c r="AD614" s="54"/>
      <c r="AE614" s="54"/>
      <c r="AF614" s="54"/>
      <c r="AG614" s="54"/>
      <c r="AH614" s="54"/>
      <c r="AI614" s="54"/>
      <c r="AJ614" s="54"/>
      <c r="AK614" s="54"/>
      <c r="AL614" s="54"/>
      <c r="AM614" s="54"/>
      <c r="AN614" s="54"/>
      <c r="AO614" s="54"/>
      <c r="AP614" s="54"/>
      <c r="AQ614" s="54"/>
      <c r="AR614" s="54"/>
      <c r="AS614" s="54"/>
      <c r="AT614" s="54"/>
      <c r="AU614" s="54"/>
      <c r="AV614" s="103"/>
      <c r="AW614" s="54"/>
      <c r="AX614" s="103"/>
      <c r="AY614" s="54"/>
      <c r="AZ614" s="103"/>
      <c r="BA614" s="17"/>
      <c r="BB614" s="17"/>
      <c r="BC614" s="18">
        <f t="shared" si="259"/>
        <v>0</v>
      </c>
      <c r="BD614" s="18">
        <f t="shared" si="260"/>
        <v>0</v>
      </c>
      <c r="BE614" s="19">
        <f t="shared" si="261"/>
        <v>0</v>
      </c>
      <c r="BF614" s="20">
        <f t="shared" si="262"/>
        <v>18500000</v>
      </c>
      <c r="BG614" s="20">
        <f t="shared" si="263"/>
        <v>18500000</v>
      </c>
    </row>
    <row r="615" spans="1:59" ht="14.25" customHeight="1">
      <c r="A615" s="153" t="s">
        <v>1311</v>
      </c>
      <c r="B615" s="153" t="s">
        <v>1057</v>
      </c>
      <c r="C615" s="154" t="s">
        <v>733</v>
      </c>
      <c r="D615" s="154" t="s">
        <v>62</v>
      </c>
      <c r="E615" s="151">
        <v>40</v>
      </c>
      <c r="F615" s="149" t="s">
        <v>1616</v>
      </c>
      <c r="G615" s="153" t="s">
        <v>733</v>
      </c>
      <c r="H615" s="153" t="s">
        <v>733</v>
      </c>
      <c r="I615" s="153" t="s">
        <v>733</v>
      </c>
      <c r="J615" s="208">
        <v>80111620</v>
      </c>
      <c r="K615" s="147" t="s">
        <v>1612</v>
      </c>
      <c r="L615" s="169" t="s">
        <v>83</v>
      </c>
      <c r="M615" s="147" t="s">
        <v>1617</v>
      </c>
      <c r="N615" s="168" t="s">
        <v>142</v>
      </c>
      <c r="O615" s="168" t="s">
        <v>71</v>
      </c>
      <c r="P615" s="147" t="s">
        <v>71</v>
      </c>
      <c r="Q615" s="147">
        <v>3.7</v>
      </c>
      <c r="R615" s="169" t="s">
        <v>72</v>
      </c>
      <c r="S615" s="169" t="s">
        <v>73</v>
      </c>
      <c r="T615" s="147" t="s">
        <v>74</v>
      </c>
      <c r="U615" s="148">
        <v>14800000</v>
      </c>
      <c r="V615" s="148">
        <v>14800000</v>
      </c>
      <c r="W615" s="153" t="s">
        <v>75</v>
      </c>
      <c r="X615" s="153" t="s">
        <v>67</v>
      </c>
      <c r="Y615" s="147" t="s">
        <v>1123</v>
      </c>
      <c r="Z615" s="153" t="s">
        <v>1607</v>
      </c>
      <c r="AA615" s="153">
        <v>6012220601</v>
      </c>
      <c r="AB615" s="209" t="s">
        <v>1608</v>
      </c>
      <c r="AC615" s="54"/>
      <c r="AD615" s="54"/>
      <c r="AE615" s="54"/>
      <c r="AF615" s="54"/>
      <c r="AG615" s="54"/>
      <c r="AH615" s="54"/>
      <c r="AI615" s="54"/>
      <c r="AJ615" s="54"/>
      <c r="AK615" s="54"/>
      <c r="AL615" s="54"/>
      <c r="AM615" s="54"/>
      <c r="AN615" s="54"/>
      <c r="AO615" s="54"/>
      <c r="AP615" s="54"/>
      <c r="AQ615" s="54"/>
      <c r="AR615" s="54"/>
      <c r="AS615" s="54"/>
      <c r="AT615" s="54"/>
      <c r="AU615" s="54"/>
      <c r="AV615" s="103"/>
      <c r="AW615" s="54"/>
      <c r="AX615" s="103"/>
      <c r="AY615" s="54"/>
      <c r="AZ615" s="103"/>
      <c r="BA615" s="17"/>
      <c r="BB615" s="17"/>
      <c r="BC615" s="18">
        <f t="shared" si="259"/>
        <v>0</v>
      </c>
      <c r="BD615" s="18">
        <f t="shared" si="260"/>
        <v>0</v>
      </c>
      <c r="BE615" s="19">
        <f t="shared" si="261"/>
        <v>0</v>
      </c>
      <c r="BF615" s="20">
        <f t="shared" si="262"/>
        <v>14800000</v>
      </c>
      <c r="BG615" s="20">
        <f t="shared" si="263"/>
        <v>14800000</v>
      </c>
    </row>
    <row r="616" spans="1:59" ht="14.25" customHeight="1">
      <c r="A616" s="153" t="s">
        <v>1311</v>
      </c>
      <c r="B616" s="153" t="s">
        <v>1057</v>
      </c>
      <c r="C616" s="154" t="s">
        <v>733</v>
      </c>
      <c r="D616" s="154" t="s">
        <v>62</v>
      </c>
      <c r="E616" s="151">
        <v>40</v>
      </c>
      <c r="F616" s="149" t="s">
        <v>1618</v>
      </c>
      <c r="G616" s="153" t="s">
        <v>733</v>
      </c>
      <c r="H616" s="153" t="s">
        <v>733</v>
      </c>
      <c r="I616" s="153" t="s">
        <v>733</v>
      </c>
      <c r="J616" s="208">
        <v>80111620</v>
      </c>
      <c r="K616" s="147" t="s">
        <v>1612</v>
      </c>
      <c r="L616" s="169" t="s">
        <v>83</v>
      </c>
      <c r="M616" s="147" t="s">
        <v>1619</v>
      </c>
      <c r="N616" s="168" t="s">
        <v>142</v>
      </c>
      <c r="O616" s="168" t="s">
        <v>71</v>
      </c>
      <c r="P616" s="147" t="s">
        <v>71</v>
      </c>
      <c r="Q616" s="147">
        <v>3.7</v>
      </c>
      <c r="R616" s="169" t="s">
        <v>72</v>
      </c>
      <c r="S616" s="169" t="s">
        <v>73</v>
      </c>
      <c r="T616" s="147" t="s">
        <v>74</v>
      </c>
      <c r="U616" s="148">
        <v>14800000</v>
      </c>
      <c r="V616" s="148">
        <v>14800000</v>
      </c>
      <c r="W616" s="153" t="s">
        <v>75</v>
      </c>
      <c r="X616" s="153" t="s">
        <v>67</v>
      </c>
      <c r="Y616" s="147" t="s">
        <v>1123</v>
      </c>
      <c r="Z616" s="153" t="s">
        <v>1607</v>
      </c>
      <c r="AA616" s="153">
        <v>6012220601</v>
      </c>
      <c r="AB616" s="209" t="s">
        <v>1608</v>
      </c>
      <c r="AC616" s="54"/>
      <c r="AD616" s="54"/>
      <c r="AE616" s="54"/>
      <c r="AF616" s="54"/>
      <c r="AG616" s="54"/>
      <c r="AH616" s="54"/>
      <c r="AI616" s="54"/>
      <c r="AJ616" s="54"/>
      <c r="AK616" s="54"/>
      <c r="AL616" s="54"/>
      <c r="AM616" s="54"/>
      <c r="AN616" s="54"/>
      <c r="AO616" s="54"/>
      <c r="AP616" s="54"/>
      <c r="AQ616" s="54"/>
      <c r="AR616" s="54"/>
      <c r="AS616" s="54"/>
      <c r="AT616" s="54"/>
      <c r="AU616" s="54"/>
      <c r="AV616" s="103"/>
      <c r="AW616" s="54"/>
      <c r="AX616" s="103"/>
      <c r="AY616" s="54"/>
      <c r="AZ616" s="103"/>
      <c r="BA616" s="17"/>
      <c r="BB616" s="17"/>
      <c r="BC616" s="18">
        <f t="shared" si="259"/>
        <v>0</v>
      </c>
      <c r="BD616" s="18">
        <f t="shared" si="260"/>
        <v>0</v>
      </c>
      <c r="BE616" s="19">
        <f t="shared" si="261"/>
        <v>0</v>
      </c>
      <c r="BF616" s="20">
        <f t="shared" si="262"/>
        <v>14800000</v>
      </c>
      <c r="BG616" s="20">
        <f t="shared" si="263"/>
        <v>14800000</v>
      </c>
    </row>
    <row r="617" spans="1:59" ht="14.25" customHeight="1">
      <c r="A617" s="153" t="s">
        <v>1311</v>
      </c>
      <c r="B617" s="153" t="s">
        <v>1057</v>
      </c>
      <c r="C617" s="154" t="s">
        <v>733</v>
      </c>
      <c r="D617" s="154" t="s">
        <v>62</v>
      </c>
      <c r="E617" s="151">
        <v>40</v>
      </c>
      <c r="F617" s="149" t="s">
        <v>1620</v>
      </c>
      <c r="G617" s="153" t="s">
        <v>733</v>
      </c>
      <c r="H617" s="153" t="s">
        <v>733</v>
      </c>
      <c r="I617" s="153" t="s">
        <v>733</v>
      </c>
      <c r="J617" s="208">
        <v>80111620</v>
      </c>
      <c r="K617" s="147" t="s">
        <v>1612</v>
      </c>
      <c r="L617" s="169" t="s">
        <v>83</v>
      </c>
      <c r="M617" s="147" t="s">
        <v>1621</v>
      </c>
      <c r="N617" s="168" t="s">
        <v>142</v>
      </c>
      <c r="O617" s="168" t="s">
        <v>71</v>
      </c>
      <c r="P617" s="147" t="s">
        <v>71</v>
      </c>
      <c r="Q617" s="147">
        <v>3.7</v>
      </c>
      <c r="R617" s="169" t="s">
        <v>72</v>
      </c>
      <c r="S617" s="169" t="s">
        <v>73</v>
      </c>
      <c r="T617" s="147" t="s">
        <v>74</v>
      </c>
      <c r="U617" s="148">
        <v>11100000</v>
      </c>
      <c r="V617" s="148">
        <v>11100000</v>
      </c>
      <c r="W617" s="153" t="s">
        <v>75</v>
      </c>
      <c r="X617" s="153" t="s">
        <v>67</v>
      </c>
      <c r="Y617" s="147" t="s">
        <v>1123</v>
      </c>
      <c r="Z617" s="153" t="s">
        <v>1607</v>
      </c>
      <c r="AA617" s="153">
        <v>6012220601</v>
      </c>
      <c r="AB617" s="209" t="s">
        <v>1608</v>
      </c>
      <c r="AC617" s="54"/>
      <c r="AD617" s="54"/>
      <c r="AE617" s="54"/>
      <c r="AF617" s="54"/>
      <c r="AG617" s="54"/>
      <c r="AH617" s="54"/>
      <c r="AI617" s="54"/>
      <c r="AJ617" s="54"/>
      <c r="AK617" s="54"/>
      <c r="AL617" s="54"/>
      <c r="AM617" s="54"/>
      <c r="AN617" s="54"/>
      <c r="AO617" s="54"/>
      <c r="AP617" s="54"/>
      <c r="AQ617" s="54"/>
      <c r="AR617" s="54"/>
      <c r="AS617" s="54"/>
      <c r="AT617" s="54"/>
      <c r="AU617" s="54"/>
      <c r="AV617" s="103"/>
      <c r="AW617" s="54"/>
      <c r="AX617" s="103"/>
      <c r="AY617" s="54"/>
      <c r="AZ617" s="103"/>
      <c r="BA617" s="17"/>
      <c r="BB617" s="17"/>
      <c r="BC617" s="18">
        <f t="shared" si="259"/>
        <v>0</v>
      </c>
      <c r="BD617" s="18">
        <f t="shared" si="260"/>
        <v>0</v>
      </c>
      <c r="BE617" s="19">
        <f t="shared" si="261"/>
        <v>0</v>
      </c>
      <c r="BF617" s="20">
        <f t="shared" si="262"/>
        <v>11100000</v>
      </c>
      <c r="BG617" s="20">
        <f t="shared" si="263"/>
        <v>11100000</v>
      </c>
    </row>
    <row r="618" spans="1:59" ht="14.25" customHeight="1">
      <c r="A618" s="153" t="s">
        <v>1311</v>
      </c>
      <c r="B618" s="153" t="s">
        <v>1057</v>
      </c>
      <c r="C618" s="154" t="s">
        <v>733</v>
      </c>
      <c r="D618" s="154" t="s">
        <v>62</v>
      </c>
      <c r="E618" s="151">
        <v>40</v>
      </c>
      <c r="F618" s="149" t="s">
        <v>1622</v>
      </c>
      <c r="G618" s="153" t="s">
        <v>733</v>
      </c>
      <c r="H618" s="153" t="s">
        <v>733</v>
      </c>
      <c r="I618" s="210" t="s">
        <v>733</v>
      </c>
      <c r="J618" s="147">
        <v>80111620</v>
      </c>
      <c r="K618" s="153" t="s">
        <v>1612</v>
      </c>
      <c r="L618" s="168" t="s">
        <v>83</v>
      </c>
      <c r="M618" s="147" t="s">
        <v>1623</v>
      </c>
      <c r="N618" s="168" t="s">
        <v>142</v>
      </c>
      <c r="O618" s="168" t="s">
        <v>71</v>
      </c>
      <c r="P618" s="147" t="s">
        <v>71</v>
      </c>
      <c r="Q618" s="153">
        <v>3.7</v>
      </c>
      <c r="R618" s="169" t="s">
        <v>72</v>
      </c>
      <c r="S618" s="168" t="s">
        <v>73</v>
      </c>
      <c r="T618" s="147" t="s">
        <v>74</v>
      </c>
      <c r="U618" s="148">
        <v>25900000</v>
      </c>
      <c r="V618" s="211">
        <v>25900000</v>
      </c>
      <c r="W618" s="153" t="s">
        <v>75</v>
      </c>
      <c r="X618" s="147" t="s">
        <v>67</v>
      </c>
      <c r="Y618" s="153" t="s">
        <v>1123</v>
      </c>
      <c r="Z618" s="153" t="s">
        <v>1607</v>
      </c>
      <c r="AA618" s="153">
        <v>6012220601</v>
      </c>
      <c r="AB618" s="160" t="s">
        <v>1608</v>
      </c>
      <c r="AC618" s="54"/>
      <c r="AD618" s="54"/>
      <c r="AE618" s="54"/>
      <c r="AF618" s="54"/>
      <c r="AG618" s="54"/>
      <c r="AH618" s="54"/>
      <c r="AI618" s="54"/>
      <c r="AJ618" s="54"/>
      <c r="AK618" s="54"/>
      <c r="AL618" s="54"/>
      <c r="AM618" s="54"/>
      <c r="AN618" s="54"/>
      <c r="AO618" s="54"/>
      <c r="AP618" s="54"/>
      <c r="AQ618" s="54"/>
      <c r="AR618" s="103"/>
      <c r="AS618" s="54"/>
      <c r="AT618" s="54"/>
      <c r="AU618" s="103"/>
      <c r="AV618" s="54"/>
      <c r="AW618" s="103"/>
      <c r="AX618" s="54"/>
      <c r="AY618" s="103"/>
      <c r="AZ618" s="18"/>
      <c r="BA618" s="17"/>
      <c r="BB618" s="17"/>
      <c r="BC618" s="18">
        <f t="shared" si="259"/>
        <v>0</v>
      </c>
      <c r="BD618" s="18">
        <f t="shared" si="260"/>
        <v>0</v>
      </c>
      <c r="BE618" s="19">
        <f t="shared" si="261"/>
        <v>0</v>
      </c>
      <c r="BF618" s="20">
        <f t="shared" si="262"/>
        <v>25900000</v>
      </c>
      <c r="BG618" s="20">
        <f t="shared" si="263"/>
        <v>25900000</v>
      </c>
    </row>
    <row r="619" spans="1:59" ht="14.25" customHeight="1">
      <c r="A619" s="153" t="s">
        <v>1311</v>
      </c>
      <c r="B619" s="153" t="s">
        <v>1057</v>
      </c>
      <c r="C619" s="154" t="s">
        <v>733</v>
      </c>
      <c r="D619" s="154" t="s">
        <v>62</v>
      </c>
      <c r="E619" s="151">
        <v>42</v>
      </c>
      <c r="F619" s="149" t="s">
        <v>1624</v>
      </c>
      <c r="G619" s="153" t="s">
        <v>733</v>
      </c>
      <c r="H619" s="153" t="s">
        <v>733</v>
      </c>
      <c r="I619" s="153" t="s">
        <v>733</v>
      </c>
      <c r="J619" s="164">
        <v>80111620</v>
      </c>
      <c r="K619" s="147" t="s">
        <v>1625</v>
      </c>
      <c r="L619" s="169" t="s">
        <v>83</v>
      </c>
      <c r="M619" s="147" t="s">
        <v>1626</v>
      </c>
      <c r="N619" s="168" t="s">
        <v>71</v>
      </c>
      <c r="O619" s="168" t="s">
        <v>71</v>
      </c>
      <c r="P619" s="168" t="s">
        <v>71</v>
      </c>
      <c r="Q619" s="147">
        <v>3</v>
      </c>
      <c r="R619" s="169" t="s">
        <v>72</v>
      </c>
      <c r="S619" s="168" t="s">
        <v>73</v>
      </c>
      <c r="T619" s="147" t="s">
        <v>74</v>
      </c>
      <c r="U619" s="148">
        <v>26100000</v>
      </c>
      <c r="V619" s="148">
        <v>26100000</v>
      </c>
      <c r="W619" s="153" t="s">
        <v>75</v>
      </c>
      <c r="X619" s="147" t="s">
        <v>67</v>
      </c>
      <c r="Y619" s="147" t="s">
        <v>811</v>
      </c>
      <c r="Z619" s="147" t="s">
        <v>1607</v>
      </c>
      <c r="AA619" s="147">
        <v>6012220601</v>
      </c>
      <c r="AB619" s="160" t="s">
        <v>813</v>
      </c>
      <c r="AC619" s="54"/>
      <c r="AD619" s="54"/>
      <c r="AE619" s="54"/>
      <c r="AF619" s="54"/>
      <c r="AG619" s="54"/>
      <c r="AH619" s="54"/>
      <c r="AI619" s="54"/>
      <c r="AJ619" s="54"/>
      <c r="AK619" s="54"/>
      <c r="AL619" s="54"/>
      <c r="AM619" s="54"/>
      <c r="AN619" s="54"/>
      <c r="AO619" s="54"/>
      <c r="AP619" s="54"/>
      <c r="AQ619" s="54"/>
      <c r="AR619" s="54"/>
      <c r="AS619" s="54"/>
      <c r="AT619" s="54"/>
      <c r="AU619" s="54"/>
      <c r="AV619" s="103"/>
      <c r="AW619" s="54"/>
      <c r="AX619" s="103"/>
      <c r="AY619" s="54"/>
      <c r="AZ619" s="103"/>
      <c r="BA619" s="17"/>
      <c r="BB619" s="17"/>
      <c r="BC619" s="18">
        <f t="shared" si="259"/>
        <v>0</v>
      </c>
      <c r="BD619" s="18">
        <f t="shared" si="260"/>
        <v>0</v>
      </c>
      <c r="BE619" s="19">
        <f t="shared" si="261"/>
        <v>0</v>
      </c>
      <c r="BF619" s="20">
        <f t="shared" si="262"/>
        <v>26100000</v>
      </c>
      <c r="BG619" s="20">
        <f t="shared" si="263"/>
        <v>26100000</v>
      </c>
    </row>
    <row r="620" spans="1:59" ht="14.25" customHeight="1">
      <c r="A620" s="153" t="s">
        <v>1311</v>
      </c>
      <c r="B620" s="153" t="s">
        <v>1057</v>
      </c>
      <c r="C620" s="154" t="s">
        <v>733</v>
      </c>
      <c r="D620" s="154" t="s">
        <v>62</v>
      </c>
      <c r="E620" s="151">
        <v>42</v>
      </c>
      <c r="F620" s="149" t="s">
        <v>1627</v>
      </c>
      <c r="G620" s="153" t="s">
        <v>733</v>
      </c>
      <c r="H620" s="153" t="s">
        <v>733</v>
      </c>
      <c r="I620" s="153" t="s">
        <v>733</v>
      </c>
      <c r="J620" s="164">
        <v>55101519</v>
      </c>
      <c r="K620" s="147" t="s">
        <v>1612</v>
      </c>
      <c r="L620" s="169" t="s">
        <v>83</v>
      </c>
      <c r="M620" s="147" t="s">
        <v>1628</v>
      </c>
      <c r="N620" s="168" t="s">
        <v>180</v>
      </c>
      <c r="O620" s="168" t="s">
        <v>180</v>
      </c>
      <c r="P620" s="168" t="s">
        <v>180</v>
      </c>
      <c r="Q620" s="147">
        <v>3.7</v>
      </c>
      <c r="R620" s="169" t="s">
        <v>72</v>
      </c>
      <c r="S620" s="168" t="s">
        <v>156</v>
      </c>
      <c r="T620" s="147" t="s">
        <v>74</v>
      </c>
      <c r="U620" s="148">
        <v>60000000</v>
      </c>
      <c r="V620" s="148">
        <v>60000000</v>
      </c>
      <c r="W620" s="153" t="s">
        <v>75</v>
      </c>
      <c r="X620" s="147" t="s">
        <v>67</v>
      </c>
      <c r="Y620" s="147" t="s">
        <v>811</v>
      </c>
      <c r="Z620" s="147" t="s">
        <v>1607</v>
      </c>
      <c r="AA620" s="147">
        <v>6012220601</v>
      </c>
      <c r="AB620" s="160" t="s">
        <v>813</v>
      </c>
      <c r="AC620" s="54"/>
      <c r="AD620" s="54"/>
      <c r="AE620" s="54"/>
      <c r="AF620" s="54"/>
      <c r="AG620" s="54"/>
      <c r="AH620" s="54"/>
      <c r="AI620" s="54"/>
      <c r="AJ620" s="54"/>
      <c r="AK620" s="54"/>
      <c r="AL620" s="54"/>
      <c r="AM620" s="54"/>
      <c r="AN620" s="54"/>
      <c r="AO620" s="54"/>
      <c r="AP620" s="54"/>
      <c r="AQ620" s="54"/>
      <c r="AR620" s="54"/>
      <c r="AS620" s="54"/>
      <c r="AT620" s="54"/>
      <c r="AU620" s="54"/>
      <c r="AV620" s="103"/>
      <c r="AW620" s="54"/>
      <c r="AX620" s="103"/>
      <c r="AY620" s="54"/>
      <c r="AZ620" s="103"/>
      <c r="BA620" s="17"/>
      <c r="BB620" s="17"/>
      <c r="BC620" s="18">
        <f t="shared" si="259"/>
        <v>0</v>
      </c>
      <c r="BD620" s="18">
        <f t="shared" si="260"/>
        <v>0</v>
      </c>
      <c r="BE620" s="19">
        <f t="shared" si="261"/>
        <v>0</v>
      </c>
      <c r="BF620" s="20">
        <f t="shared" si="262"/>
        <v>60000000</v>
      </c>
      <c r="BG620" s="20">
        <f t="shared" si="263"/>
        <v>60000000</v>
      </c>
    </row>
    <row r="621" spans="1:59" ht="14.25" customHeight="1">
      <c r="A621" s="153" t="s">
        <v>1311</v>
      </c>
      <c r="B621" s="153" t="s">
        <v>1057</v>
      </c>
      <c r="C621" s="154" t="s">
        <v>733</v>
      </c>
      <c r="D621" s="154" t="s">
        <v>62</v>
      </c>
      <c r="E621" s="154">
        <v>42</v>
      </c>
      <c r="F621" s="170" t="s">
        <v>1629</v>
      </c>
      <c r="G621" s="153" t="s">
        <v>733</v>
      </c>
      <c r="H621" s="153" t="s">
        <v>733</v>
      </c>
      <c r="I621" s="153" t="s">
        <v>733</v>
      </c>
      <c r="J621" s="208">
        <v>81112210</v>
      </c>
      <c r="K621" s="153" t="s">
        <v>1612</v>
      </c>
      <c r="L621" s="169" t="s">
        <v>83</v>
      </c>
      <c r="M621" s="153" t="s">
        <v>1630</v>
      </c>
      <c r="N621" s="169" t="s">
        <v>71</v>
      </c>
      <c r="O621" s="169" t="s">
        <v>71</v>
      </c>
      <c r="P621" s="169" t="s">
        <v>71</v>
      </c>
      <c r="Q621" s="153">
        <v>8</v>
      </c>
      <c r="R621" s="169" t="s">
        <v>72</v>
      </c>
      <c r="S621" s="169" t="s">
        <v>156</v>
      </c>
      <c r="T621" s="147" t="s">
        <v>74</v>
      </c>
      <c r="U621" s="211">
        <v>60000000</v>
      </c>
      <c r="V621" s="211">
        <v>60000000</v>
      </c>
      <c r="W621" s="153" t="s">
        <v>75</v>
      </c>
      <c r="X621" s="147" t="s">
        <v>67</v>
      </c>
      <c r="Y621" s="153" t="s">
        <v>811</v>
      </c>
      <c r="Z621" s="153" t="s">
        <v>1607</v>
      </c>
      <c r="AA621" s="153">
        <v>6012220601</v>
      </c>
      <c r="AB621" s="209" t="s">
        <v>813</v>
      </c>
      <c r="AC621" s="54"/>
      <c r="AD621" s="54"/>
      <c r="AE621" s="54"/>
      <c r="AF621" s="54"/>
      <c r="AG621" s="54"/>
      <c r="AH621" s="54"/>
      <c r="AI621" s="54"/>
      <c r="AJ621" s="54"/>
      <c r="AK621" s="54"/>
      <c r="AL621" s="54"/>
      <c r="AM621" s="54"/>
      <c r="AN621" s="54"/>
      <c r="AO621" s="54"/>
      <c r="AP621" s="54"/>
      <c r="AQ621" s="54"/>
      <c r="AR621" s="54"/>
      <c r="AS621" s="54"/>
      <c r="AT621" s="54"/>
      <c r="AU621" s="54"/>
      <c r="AV621" s="103"/>
      <c r="AW621" s="54"/>
      <c r="AX621" s="103"/>
      <c r="AY621" s="54"/>
      <c r="AZ621" s="103"/>
      <c r="BA621" s="17"/>
      <c r="BB621" s="17"/>
      <c r="BC621" s="18">
        <f t="shared" si="259"/>
        <v>0</v>
      </c>
      <c r="BD621" s="18">
        <f t="shared" si="260"/>
        <v>0</v>
      </c>
      <c r="BE621" s="19">
        <f t="shared" si="261"/>
        <v>0</v>
      </c>
      <c r="BF621" s="20">
        <f t="shared" si="262"/>
        <v>60000000</v>
      </c>
      <c r="BG621" s="20">
        <f t="shared" si="263"/>
        <v>60000000</v>
      </c>
    </row>
    <row r="622" spans="1:59" ht="14.25" customHeight="1">
      <c r="A622" s="153" t="s">
        <v>1311</v>
      </c>
      <c r="B622" s="153" t="s">
        <v>1057</v>
      </c>
      <c r="C622" s="154" t="s">
        <v>733</v>
      </c>
      <c r="D622" s="154" t="s">
        <v>62</v>
      </c>
      <c r="E622" s="151">
        <v>44</v>
      </c>
      <c r="F622" s="170" t="s">
        <v>1631</v>
      </c>
      <c r="G622" s="153" t="s">
        <v>733</v>
      </c>
      <c r="H622" s="153" t="s">
        <v>733</v>
      </c>
      <c r="I622" s="153" t="s">
        <v>733</v>
      </c>
      <c r="J622" s="208">
        <v>80111620</v>
      </c>
      <c r="K622" s="147" t="s">
        <v>1612</v>
      </c>
      <c r="L622" s="169" t="s">
        <v>83</v>
      </c>
      <c r="M622" s="147" t="s">
        <v>1632</v>
      </c>
      <c r="N622" s="169" t="s">
        <v>71</v>
      </c>
      <c r="O622" s="169" t="s">
        <v>71</v>
      </c>
      <c r="P622" s="169" t="s">
        <v>71</v>
      </c>
      <c r="Q622" s="153">
        <v>3.5</v>
      </c>
      <c r="R622" s="169" t="s">
        <v>72</v>
      </c>
      <c r="S622" s="169" t="s">
        <v>156</v>
      </c>
      <c r="T622" s="147" t="s">
        <v>74</v>
      </c>
      <c r="U622" s="211">
        <v>36834000</v>
      </c>
      <c r="V622" s="211">
        <v>36834000</v>
      </c>
      <c r="W622" s="153" t="s">
        <v>75</v>
      </c>
      <c r="X622" s="147" t="s">
        <v>67</v>
      </c>
      <c r="Y622" s="153" t="s">
        <v>811</v>
      </c>
      <c r="Z622" s="153" t="s">
        <v>1607</v>
      </c>
      <c r="AA622" s="153">
        <v>6012220601</v>
      </c>
      <c r="AB622" s="209" t="s">
        <v>813</v>
      </c>
      <c r="AC622" s="54"/>
      <c r="AD622" s="54"/>
      <c r="AE622" s="54"/>
      <c r="AF622" s="54"/>
      <c r="AG622" s="54"/>
      <c r="AH622" s="54"/>
      <c r="AI622" s="54"/>
      <c r="AJ622" s="54"/>
      <c r="AK622" s="54"/>
      <c r="AL622" s="54"/>
      <c r="AM622" s="54"/>
      <c r="AN622" s="54"/>
      <c r="AO622" s="54"/>
      <c r="AP622" s="54"/>
      <c r="AQ622" s="54"/>
      <c r="AR622" s="54"/>
      <c r="AS622" s="54"/>
      <c r="AT622" s="54"/>
      <c r="AU622" s="54"/>
      <c r="AV622" s="103"/>
      <c r="AW622" s="54"/>
      <c r="AX622" s="103"/>
      <c r="AY622" s="54"/>
      <c r="AZ622" s="103"/>
      <c r="BA622" s="17"/>
      <c r="BB622" s="17"/>
      <c r="BC622" s="18">
        <f t="shared" si="259"/>
        <v>0</v>
      </c>
      <c r="BD622" s="18">
        <f t="shared" si="260"/>
        <v>0</v>
      </c>
      <c r="BE622" s="19">
        <f t="shared" si="261"/>
        <v>0</v>
      </c>
      <c r="BF622" s="20">
        <f t="shared" si="262"/>
        <v>36834000</v>
      </c>
      <c r="BG622" s="20">
        <f t="shared" si="263"/>
        <v>36834000</v>
      </c>
    </row>
    <row r="623" spans="1:59" ht="14.25" hidden="1" customHeight="1">
      <c r="A623" s="94" t="s">
        <v>1311</v>
      </c>
      <c r="B623" s="94" t="s">
        <v>1057</v>
      </c>
      <c r="C623" s="95" t="s">
        <v>733</v>
      </c>
      <c r="D623" s="96" t="s">
        <v>62</v>
      </c>
      <c r="E623" s="12">
        <v>46</v>
      </c>
      <c r="F623" s="107" t="s">
        <v>1633</v>
      </c>
      <c r="G623" s="97" t="s">
        <v>733</v>
      </c>
      <c r="H623" s="97" t="s">
        <v>733</v>
      </c>
      <c r="I623" s="98" t="s">
        <v>733</v>
      </c>
      <c r="J623" s="99">
        <v>80111620</v>
      </c>
      <c r="K623" s="11" t="s">
        <v>1625</v>
      </c>
      <c r="L623" s="100" t="s">
        <v>83</v>
      </c>
      <c r="M623" s="11" t="s">
        <v>1634</v>
      </c>
      <c r="N623" s="93" t="s">
        <v>71</v>
      </c>
      <c r="O623" s="93" t="s">
        <v>71</v>
      </c>
      <c r="P623" s="93" t="s">
        <v>180</v>
      </c>
      <c r="Q623" s="11">
        <v>3</v>
      </c>
      <c r="R623" s="100" t="s">
        <v>72</v>
      </c>
      <c r="S623" s="26" t="s">
        <v>73</v>
      </c>
      <c r="T623" s="13" t="s">
        <v>74</v>
      </c>
      <c r="U623" s="28">
        <v>21600000</v>
      </c>
      <c r="V623" s="28">
        <v>21600000</v>
      </c>
      <c r="W623" s="98" t="s">
        <v>75</v>
      </c>
      <c r="X623" s="11" t="s">
        <v>67</v>
      </c>
      <c r="Y623" s="108" t="s">
        <v>811</v>
      </c>
      <c r="Z623" s="101" t="s">
        <v>1607</v>
      </c>
      <c r="AA623" s="102">
        <v>6012220601</v>
      </c>
      <c r="AB623" s="101" t="s">
        <v>813</v>
      </c>
      <c r="AC623" s="54"/>
      <c r="AD623" s="54"/>
      <c r="AE623" s="54"/>
      <c r="AF623" s="54"/>
      <c r="AG623" s="54"/>
      <c r="AH623" s="54"/>
      <c r="AI623" s="54"/>
      <c r="AJ623" s="54"/>
      <c r="AK623" s="54"/>
      <c r="AL623" s="54"/>
      <c r="AM623" s="54"/>
      <c r="AN623" s="54"/>
      <c r="AO623" s="54"/>
      <c r="AP623" s="54"/>
      <c r="AQ623" s="54"/>
      <c r="AR623" s="54"/>
      <c r="AS623" s="54"/>
      <c r="AT623" s="54"/>
      <c r="AU623" s="54"/>
      <c r="AV623" s="103"/>
      <c r="AW623" s="54"/>
      <c r="AX623" s="103"/>
      <c r="AY623" s="54"/>
      <c r="AZ623" s="103"/>
      <c r="BA623" s="17"/>
      <c r="BB623" s="17"/>
      <c r="BC623" s="18">
        <f t="shared" si="259"/>
        <v>0</v>
      </c>
      <c r="BD623" s="18">
        <f t="shared" si="260"/>
        <v>0</v>
      </c>
      <c r="BE623" s="19">
        <f t="shared" si="261"/>
        <v>0</v>
      </c>
      <c r="BF623" s="20">
        <f t="shared" si="262"/>
        <v>21600000</v>
      </c>
      <c r="BG623" s="20">
        <f t="shared" si="263"/>
        <v>21600000</v>
      </c>
    </row>
    <row r="624" spans="1:59" ht="14.25" hidden="1" customHeight="1">
      <c r="A624" s="94" t="s">
        <v>1311</v>
      </c>
      <c r="B624" s="94" t="s">
        <v>1057</v>
      </c>
      <c r="C624" s="95" t="s">
        <v>733</v>
      </c>
      <c r="D624" s="96" t="s">
        <v>62</v>
      </c>
      <c r="E624" s="12">
        <v>46</v>
      </c>
      <c r="F624" s="107" t="s">
        <v>1635</v>
      </c>
      <c r="G624" s="97" t="s">
        <v>733</v>
      </c>
      <c r="H624" s="97" t="s">
        <v>733</v>
      </c>
      <c r="I624" s="98" t="s">
        <v>733</v>
      </c>
      <c r="J624" s="99">
        <v>80111620</v>
      </c>
      <c r="K624" s="11" t="s">
        <v>1625</v>
      </c>
      <c r="L624" s="100" t="s">
        <v>83</v>
      </c>
      <c r="M624" s="11" t="s">
        <v>1636</v>
      </c>
      <c r="N624" s="93" t="s">
        <v>71</v>
      </c>
      <c r="O624" s="93" t="s">
        <v>71</v>
      </c>
      <c r="P624" s="93" t="s">
        <v>180</v>
      </c>
      <c r="Q624" s="11">
        <v>3</v>
      </c>
      <c r="R624" s="100" t="s">
        <v>72</v>
      </c>
      <c r="S624" s="26" t="s">
        <v>73</v>
      </c>
      <c r="T624" s="13" t="s">
        <v>74</v>
      </c>
      <c r="U624" s="28">
        <v>21600000</v>
      </c>
      <c r="V624" s="28">
        <v>21600000</v>
      </c>
      <c r="W624" s="98" t="s">
        <v>75</v>
      </c>
      <c r="X624" s="11" t="s">
        <v>67</v>
      </c>
      <c r="Y624" s="108" t="s">
        <v>811</v>
      </c>
      <c r="Z624" s="101" t="s">
        <v>1607</v>
      </c>
      <c r="AA624" s="102">
        <v>6012220601</v>
      </c>
      <c r="AB624" s="101" t="s">
        <v>813</v>
      </c>
      <c r="AC624" s="54"/>
      <c r="AD624" s="54"/>
      <c r="AE624" s="54"/>
      <c r="AF624" s="54"/>
      <c r="AG624" s="54"/>
      <c r="AH624" s="54"/>
      <c r="AI624" s="54"/>
      <c r="AJ624" s="54"/>
      <c r="AK624" s="54"/>
      <c r="AL624" s="54"/>
      <c r="AM624" s="54"/>
      <c r="AN624" s="54"/>
      <c r="AO624" s="54"/>
      <c r="AP624" s="54"/>
      <c r="AQ624" s="54"/>
      <c r="AR624" s="54"/>
      <c r="AS624" s="54"/>
      <c r="AT624" s="54"/>
      <c r="AU624" s="54"/>
      <c r="AV624" s="103"/>
      <c r="AW624" s="54"/>
      <c r="AX624" s="103"/>
      <c r="AY624" s="54"/>
      <c r="AZ624" s="103"/>
      <c r="BA624" s="17"/>
      <c r="BB624" s="17"/>
      <c r="BC624" s="18">
        <f t="shared" si="259"/>
        <v>0</v>
      </c>
      <c r="BD624" s="18">
        <f t="shared" si="260"/>
        <v>0</v>
      </c>
      <c r="BE624" s="19">
        <f t="shared" si="261"/>
        <v>0</v>
      </c>
      <c r="BF624" s="20">
        <f t="shared" si="262"/>
        <v>21600000</v>
      </c>
      <c r="BG624" s="20">
        <f t="shared" si="263"/>
        <v>21600000</v>
      </c>
    </row>
    <row r="625" spans="1:59" ht="14.25" hidden="1" customHeight="1">
      <c r="A625" s="94" t="s">
        <v>1311</v>
      </c>
      <c r="B625" s="94" t="s">
        <v>1057</v>
      </c>
      <c r="C625" s="95" t="s">
        <v>733</v>
      </c>
      <c r="D625" s="96" t="s">
        <v>62</v>
      </c>
      <c r="E625" s="12">
        <v>46</v>
      </c>
      <c r="F625" s="107" t="s">
        <v>1637</v>
      </c>
      <c r="G625" s="97" t="s">
        <v>733</v>
      </c>
      <c r="H625" s="97" t="s">
        <v>733</v>
      </c>
      <c r="I625" s="98" t="s">
        <v>733</v>
      </c>
      <c r="J625" s="99">
        <v>80111620</v>
      </c>
      <c r="K625" s="11" t="s">
        <v>1625</v>
      </c>
      <c r="L625" s="100" t="s">
        <v>83</v>
      </c>
      <c r="M625" s="11" t="s">
        <v>1638</v>
      </c>
      <c r="N625" s="93" t="s">
        <v>71</v>
      </c>
      <c r="O625" s="93" t="s">
        <v>71</v>
      </c>
      <c r="P625" s="93" t="s">
        <v>180</v>
      </c>
      <c r="Q625" s="11">
        <v>3</v>
      </c>
      <c r="R625" s="100" t="s">
        <v>72</v>
      </c>
      <c r="S625" s="26" t="s">
        <v>73</v>
      </c>
      <c r="T625" s="13" t="s">
        <v>74</v>
      </c>
      <c r="U625" s="28">
        <v>21600000</v>
      </c>
      <c r="V625" s="28">
        <v>21600000</v>
      </c>
      <c r="W625" s="98" t="s">
        <v>75</v>
      </c>
      <c r="X625" s="11" t="s">
        <v>67</v>
      </c>
      <c r="Y625" s="108" t="s">
        <v>811</v>
      </c>
      <c r="Z625" s="101" t="s">
        <v>1607</v>
      </c>
      <c r="AA625" s="102">
        <v>6012220601</v>
      </c>
      <c r="AB625" s="101" t="s">
        <v>813</v>
      </c>
      <c r="AC625" s="54"/>
      <c r="AD625" s="54"/>
      <c r="AE625" s="54"/>
      <c r="AF625" s="54"/>
      <c r="AG625" s="54"/>
      <c r="AH625" s="54"/>
      <c r="AI625" s="54"/>
      <c r="AJ625" s="54"/>
      <c r="AK625" s="54"/>
      <c r="AL625" s="54"/>
      <c r="AM625" s="54"/>
      <c r="AN625" s="54"/>
      <c r="AO625" s="54"/>
      <c r="AP625" s="54"/>
      <c r="AQ625" s="54"/>
      <c r="AR625" s="54"/>
      <c r="AS625" s="54"/>
      <c r="AT625" s="54"/>
      <c r="AU625" s="54"/>
      <c r="AV625" s="103"/>
      <c r="AW625" s="54"/>
      <c r="AX625" s="103"/>
      <c r="AY625" s="54"/>
      <c r="AZ625" s="103"/>
      <c r="BA625" s="17"/>
      <c r="BB625" s="17"/>
      <c r="BC625" s="18">
        <f t="shared" si="259"/>
        <v>0</v>
      </c>
      <c r="BD625" s="18">
        <f t="shared" si="260"/>
        <v>0</v>
      </c>
      <c r="BE625" s="19">
        <f t="shared" si="261"/>
        <v>0</v>
      </c>
      <c r="BF625" s="20">
        <f t="shared" si="262"/>
        <v>21600000</v>
      </c>
      <c r="BG625" s="20">
        <f t="shared" si="263"/>
        <v>21600000</v>
      </c>
    </row>
    <row r="626" spans="1:59" ht="14.25" hidden="1" customHeight="1">
      <c r="A626" s="94" t="s">
        <v>1311</v>
      </c>
      <c r="B626" s="94" t="s">
        <v>1057</v>
      </c>
      <c r="C626" s="95" t="s">
        <v>733</v>
      </c>
      <c r="D626" s="96" t="s">
        <v>62</v>
      </c>
      <c r="E626" s="12">
        <v>46</v>
      </c>
      <c r="F626" s="107" t="s">
        <v>1639</v>
      </c>
      <c r="G626" s="97" t="s">
        <v>733</v>
      </c>
      <c r="H626" s="97" t="s">
        <v>733</v>
      </c>
      <c r="I626" s="98" t="s">
        <v>733</v>
      </c>
      <c r="J626" s="99">
        <v>80111620</v>
      </c>
      <c r="K626" s="11" t="s">
        <v>1612</v>
      </c>
      <c r="L626" s="100" t="s">
        <v>83</v>
      </c>
      <c r="M626" s="11" t="s">
        <v>1640</v>
      </c>
      <c r="N626" s="93" t="s">
        <v>71</v>
      </c>
      <c r="O626" s="93" t="s">
        <v>71</v>
      </c>
      <c r="P626" s="93" t="s">
        <v>180</v>
      </c>
      <c r="Q626" s="11">
        <v>3</v>
      </c>
      <c r="R626" s="100" t="s">
        <v>72</v>
      </c>
      <c r="S626" s="26" t="s">
        <v>73</v>
      </c>
      <c r="T626" s="13" t="s">
        <v>74</v>
      </c>
      <c r="U626" s="28">
        <v>19500000</v>
      </c>
      <c r="V626" s="28">
        <v>19500000</v>
      </c>
      <c r="W626" s="98" t="s">
        <v>75</v>
      </c>
      <c r="X626" s="11" t="s">
        <v>67</v>
      </c>
      <c r="Y626" s="108" t="s">
        <v>811</v>
      </c>
      <c r="Z626" s="101" t="s">
        <v>1607</v>
      </c>
      <c r="AA626" s="102">
        <v>6012220601</v>
      </c>
      <c r="AB626" s="101" t="s">
        <v>813</v>
      </c>
      <c r="AC626" s="54"/>
      <c r="AD626" s="54"/>
      <c r="AE626" s="54"/>
      <c r="AF626" s="54"/>
      <c r="AG626" s="54"/>
      <c r="AH626" s="54"/>
      <c r="AI626" s="54"/>
      <c r="AJ626" s="54"/>
      <c r="AK626" s="54"/>
      <c r="AL626" s="54"/>
      <c r="AM626" s="54"/>
      <c r="AN626" s="54"/>
      <c r="AO626" s="54"/>
      <c r="AP626" s="54"/>
      <c r="AQ626" s="54"/>
      <c r="AR626" s="54"/>
      <c r="AS626" s="54"/>
      <c r="AT626" s="54"/>
      <c r="AU626" s="54"/>
      <c r="AV626" s="103"/>
      <c r="AW626" s="54"/>
      <c r="AX626" s="103"/>
      <c r="AY626" s="54"/>
      <c r="AZ626" s="103"/>
      <c r="BA626" s="17"/>
      <c r="BB626" s="17"/>
      <c r="BC626" s="18">
        <f t="shared" si="259"/>
        <v>0</v>
      </c>
      <c r="BD626" s="18">
        <f t="shared" si="260"/>
        <v>0</v>
      </c>
      <c r="BE626" s="19">
        <f t="shared" si="261"/>
        <v>0</v>
      </c>
      <c r="BF626" s="20">
        <f t="shared" si="262"/>
        <v>19500000</v>
      </c>
      <c r="BG626" s="20">
        <f t="shared" si="263"/>
        <v>19500000</v>
      </c>
    </row>
    <row r="627" spans="1:59" ht="14.25" hidden="1" customHeight="1">
      <c r="A627" s="94" t="s">
        <v>1311</v>
      </c>
      <c r="B627" s="94" t="s">
        <v>1057</v>
      </c>
      <c r="C627" s="95" t="s">
        <v>733</v>
      </c>
      <c r="D627" s="96" t="s">
        <v>62</v>
      </c>
      <c r="E627" s="109">
        <v>48</v>
      </c>
      <c r="F627" s="107" t="s">
        <v>1641</v>
      </c>
      <c r="G627" s="97" t="s">
        <v>733</v>
      </c>
      <c r="H627" s="97" t="s">
        <v>733</v>
      </c>
      <c r="I627" s="98" t="s">
        <v>733</v>
      </c>
      <c r="J627" s="99">
        <v>80111620</v>
      </c>
      <c r="K627" s="110" t="s">
        <v>1625</v>
      </c>
      <c r="L627" s="100" t="s">
        <v>83</v>
      </c>
      <c r="M627" s="110" t="s">
        <v>1642</v>
      </c>
      <c r="N627" s="111" t="s">
        <v>180</v>
      </c>
      <c r="O627" s="111" t="s">
        <v>180</v>
      </c>
      <c r="P627" s="111" t="s">
        <v>180</v>
      </c>
      <c r="Q627" s="110">
        <v>2.8</v>
      </c>
      <c r="R627" s="100" t="s">
        <v>72</v>
      </c>
      <c r="S627" s="26" t="s">
        <v>73</v>
      </c>
      <c r="T627" s="13" t="s">
        <v>74</v>
      </c>
      <c r="U627" s="112">
        <v>19600000</v>
      </c>
      <c r="V627" s="112">
        <v>19600000</v>
      </c>
      <c r="W627" s="98" t="s">
        <v>75</v>
      </c>
      <c r="X627" s="11" t="s">
        <v>67</v>
      </c>
      <c r="Y627" s="108" t="s">
        <v>811</v>
      </c>
      <c r="Z627" s="101" t="s">
        <v>1607</v>
      </c>
      <c r="AA627" s="102">
        <v>6012220601</v>
      </c>
      <c r="AB627" s="101" t="s">
        <v>813</v>
      </c>
      <c r="AC627" s="104"/>
      <c r="AD627" s="104"/>
      <c r="AE627" s="104"/>
      <c r="AF627" s="104"/>
      <c r="AG627" s="104"/>
      <c r="AH627" s="104"/>
      <c r="AI627" s="104"/>
      <c r="AJ627" s="104"/>
      <c r="AK627" s="104"/>
      <c r="AL627" s="104"/>
      <c r="AM627" s="104"/>
      <c r="AN627" s="104"/>
      <c r="AO627" s="104"/>
      <c r="AP627" s="104"/>
      <c r="AQ627" s="104"/>
      <c r="AR627" s="104"/>
      <c r="AS627" s="105"/>
      <c r="AT627" s="105"/>
      <c r="AU627" s="104"/>
      <c r="AV627" s="105"/>
      <c r="AW627" s="104"/>
      <c r="AX627" s="105"/>
      <c r="AY627" s="104"/>
      <c r="AZ627" s="105"/>
      <c r="BA627" s="106"/>
      <c r="BB627" s="106"/>
      <c r="BC627" s="113"/>
      <c r="BD627" s="113"/>
      <c r="BE627" s="114"/>
      <c r="BF627" s="115"/>
      <c r="BG627" s="115"/>
    </row>
  </sheetData>
  <autoFilter ref="A8:BG622" xr:uid="{00000000-0009-0000-0000-000000000000}"/>
  <customSheetViews>
    <customSheetView guid="{221FD432-1599-45C5-8512-48144757B1EA}" filter="1" showAutoFilter="1">
      <pageMargins left="0.7" right="0.7" top="0.75" bottom="0.75" header="0.3" footer="0.3"/>
      <autoFilter ref="A1:CS615" xr:uid="{AF7D1A55-15E1-4159-A7DC-F9C0D9EA2FD1}">
        <filterColumn colId="5">
          <filters>
            <filter val="100-62"/>
            <filter val="100-63"/>
            <filter val="100-64"/>
            <filter val="100-65"/>
            <filter val="100-66"/>
            <filter val="100-67"/>
            <filter val="100-68"/>
            <filter val="100-69"/>
            <filter val="100-70"/>
            <filter val="100-71"/>
            <filter val="100-72"/>
            <filter val="101-24"/>
            <filter val="101-25"/>
            <filter val="101-26"/>
            <filter val="101-27"/>
            <filter val="110-22"/>
            <filter val="110-23"/>
            <filter val="110-24"/>
            <filter val="110-25"/>
            <filter val="110-26"/>
            <filter val="110-27"/>
            <filter val="110-28"/>
            <filter val="110-29"/>
            <filter val="110-30"/>
            <filter val="110-31"/>
            <filter val="111-42"/>
            <filter val="111-43"/>
            <filter val="111-44"/>
            <filter val="111-45"/>
            <filter val="111-46"/>
            <filter val="111-47"/>
            <filter val="111-48"/>
            <filter val="111-49"/>
            <filter val="111-50"/>
            <filter val="111-51"/>
            <filter val="111-52"/>
            <filter val="111-53"/>
            <filter val="111-54"/>
            <filter val="111-55"/>
            <filter val="130-32"/>
            <filter val="130-51"/>
            <filter val="130-52"/>
            <filter val="130-53"/>
            <filter val="130-54"/>
            <filter val="130-55"/>
            <filter val="130-56"/>
            <filter val="130-57"/>
            <filter val="130-58"/>
            <filter val="130-59"/>
            <filter val="130-60"/>
            <filter val="130-61"/>
            <filter val="131-23"/>
            <filter val="131-56"/>
            <filter val="131-57"/>
            <filter val="131-58"/>
            <filter val="131-59"/>
            <filter val="131-60"/>
            <filter val="131-61"/>
            <filter val="131-62"/>
            <filter val="131-63"/>
            <filter val="140-28"/>
            <filter val="140-29"/>
            <filter val="140-30"/>
            <filter val="140-31"/>
            <filter val="150-74"/>
            <filter val="150-75"/>
            <filter val="150-76"/>
            <filter val="150-77"/>
            <filter val="150-78"/>
            <filter val="150-79"/>
            <filter val="150-80"/>
            <filter val="150-81"/>
            <filter val="150-82"/>
            <filter val="160-25"/>
            <filter val="160-26"/>
            <filter val="160-27"/>
            <filter val="160-28"/>
            <filter val="160-29"/>
            <filter val="160-30"/>
            <filter val="160-31"/>
            <filter val="160-32"/>
            <filter val="160-33"/>
            <filter val="161-68"/>
            <filter val="161-69"/>
            <filter val="161-70"/>
            <filter val="161-71"/>
            <filter val="161-72"/>
            <filter val="161-73"/>
            <filter val="161-74"/>
            <filter val="161-75"/>
            <filter val="161-76"/>
            <filter val="161-77"/>
            <filter val="161-78"/>
            <filter val="161-79"/>
            <filter val="170-29"/>
            <filter val="170-30"/>
            <filter val="170-31"/>
            <filter val="170-32"/>
            <filter val="170-33"/>
            <filter val="170-34"/>
            <filter val="170-35"/>
            <filter val="170-36"/>
            <filter val="170-37"/>
            <filter val="170-38"/>
            <filter val="170-39"/>
            <filter val="170-40"/>
            <filter val="180-29"/>
            <filter val="180-30"/>
            <filter val="180-31"/>
            <filter val="180-32"/>
            <filter val="180-33"/>
            <filter val="180-34"/>
            <filter val="180-35"/>
            <filter val="180-36"/>
            <filter val="180-37"/>
            <filter val="180-38"/>
            <filter val="180-39"/>
            <filter val="180-40"/>
          </filters>
        </filterColumn>
      </autoFilter>
    </customSheetView>
    <customSheetView guid="{12A9DC78-312D-4AD0-B085-FCC3F7E7BEF5}" filter="1" showAutoFilter="1">
      <pageMargins left="0.7" right="0.7" top="0.75" bottom="0.75" header="0.3" footer="0.3"/>
      <autoFilter ref="A1:CS615" xr:uid="{9F41E749-0549-4B8D-B479-F7AA3F656741}">
        <filterColumn colId="0">
          <filters>
            <filter val="Inversión"/>
          </filters>
        </filterColumn>
        <filterColumn colId="5">
          <filters>
            <filter val="100-60"/>
            <filter val="100-61"/>
            <filter val="100-62"/>
            <filter val="100-63"/>
            <filter val="100-64"/>
            <filter val="100-65"/>
            <filter val="100-66"/>
            <filter val="100-67"/>
            <filter val="100-68"/>
            <filter val="100-69"/>
            <filter val="100-70"/>
            <filter val="100-71"/>
            <filter val="100-72"/>
            <filter val="101-16"/>
            <filter val="101-24"/>
            <filter val="101-25"/>
            <filter val="101-26"/>
            <filter val="101-27"/>
            <filter val="110-21"/>
            <filter val="110-22"/>
            <filter val="110-23"/>
            <filter val="110-24"/>
            <filter val="110-25"/>
            <filter val="110-26"/>
            <filter val="110-27"/>
            <filter val="110-28"/>
            <filter val="110-29"/>
            <filter val="110-30"/>
            <filter val="110-31"/>
            <filter val="111-1"/>
            <filter val="111-10"/>
            <filter val="111-11"/>
            <filter val="111-12"/>
            <filter val="111-13"/>
            <filter val="111-14"/>
            <filter val="111-15"/>
            <filter val="111-16"/>
            <filter val="111-17"/>
            <filter val="111-18"/>
            <filter val="111-19"/>
            <filter val="111-2"/>
            <filter val="111-20"/>
            <filter val="111-21"/>
            <filter val="111-22"/>
            <filter val="111-23"/>
            <filter val="111-24"/>
            <filter val="111-25"/>
            <filter val="111-26"/>
            <filter val="111-27"/>
            <filter val="111-28"/>
            <filter val="111-29"/>
            <filter val="111-3"/>
            <filter val="111-30"/>
            <filter val="111-31"/>
            <filter val="111-32"/>
            <filter val="111-33"/>
            <filter val="111-34"/>
            <filter val="111-35"/>
            <filter val="111-36"/>
            <filter val="111-37"/>
            <filter val="111-38"/>
            <filter val="111-39"/>
            <filter val="111-4"/>
            <filter val="111-40"/>
            <filter val="111-41"/>
            <filter val="111-42"/>
            <filter val="111-43"/>
            <filter val="111-44"/>
            <filter val="111-45"/>
            <filter val="111-46"/>
            <filter val="111-47"/>
            <filter val="111-48"/>
            <filter val="111-49"/>
            <filter val="111-5"/>
            <filter val="111-50"/>
            <filter val="111-51"/>
            <filter val="111-52"/>
            <filter val="111-53"/>
            <filter val="111-54"/>
            <filter val="111-55"/>
            <filter val="111-6"/>
            <filter val="111-7"/>
            <filter val="111-8"/>
            <filter val="111-9"/>
            <filter val="130-51"/>
            <filter val="130-52"/>
            <filter val="130-53"/>
            <filter val="130-54"/>
            <filter val="130-55"/>
            <filter val="130-56"/>
            <filter val="130-57"/>
            <filter val="130-58"/>
            <filter val="130-59"/>
            <filter val="130-60"/>
            <filter val="130-61"/>
            <filter val="131-54"/>
            <filter val="131-55"/>
            <filter val="131-56"/>
            <filter val="131-57"/>
            <filter val="131-58"/>
            <filter val="131-59"/>
            <filter val="131-60"/>
            <filter val="131-61"/>
            <filter val="131-62"/>
            <filter val="131-63"/>
            <filter val="140-26"/>
            <filter val="140-27"/>
            <filter val="140-28"/>
            <filter val="140-29"/>
            <filter val="140-30"/>
            <filter val="140-31"/>
            <filter val="150-60"/>
            <filter val="150-61"/>
            <filter val="150-62"/>
            <filter val="150-63"/>
            <filter val="150-64"/>
            <filter val="150-65"/>
            <filter val="150-66"/>
            <filter val="150-67"/>
            <filter val="150-68"/>
            <filter val="150-69"/>
            <filter val="150-70"/>
            <filter val="150-71"/>
            <filter val="150-72"/>
            <filter val="150-73"/>
            <filter val="150-74"/>
            <filter val="150-75"/>
            <filter val="150-76"/>
            <filter val="150-77"/>
            <filter val="150-78"/>
            <filter val="150-79"/>
            <filter val="150-80"/>
            <filter val="150-81"/>
            <filter val="150-82"/>
            <filter val="160-25"/>
            <filter val="160-26"/>
            <filter val="160-27"/>
            <filter val="160-28"/>
            <filter val="160-29"/>
            <filter val="160-30"/>
            <filter val="160-31"/>
            <filter val="160-32"/>
            <filter val="160-33"/>
            <filter val="161-1"/>
            <filter val="161-10"/>
            <filter val="161-11"/>
            <filter val="161-12"/>
            <filter val="161-13"/>
            <filter val="161-14"/>
            <filter val="161-15"/>
            <filter val="161-16"/>
            <filter val="161-17"/>
            <filter val="161-18"/>
            <filter val="161-19"/>
            <filter val="161-2"/>
            <filter val="161-20"/>
            <filter val="161-21"/>
            <filter val="161-22"/>
            <filter val="161-23"/>
            <filter val="161-24"/>
            <filter val="161-25"/>
            <filter val="161-26"/>
            <filter val="161-27"/>
            <filter val="161-28"/>
            <filter val="161-29"/>
            <filter val="161-3"/>
            <filter val="161-30"/>
            <filter val="161-31"/>
            <filter val="161-32"/>
            <filter val="161-33"/>
            <filter val="161-34"/>
            <filter val="161-35"/>
            <filter val="161-36"/>
            <filter val="161-37"/>
            <filter val="161-38"/>
            <filter val="161-39"/>
            <filter val="161-4"/>
            <filter val="161-40"/>
            <filter val="161-41"/>
            <filter val="161-42"/>
            <filter val="161-43"/>
            <filter val="161-44"/>
            <filter val="161-45"/>
            <filter val="161-46"/>
            <filter val="161-47"/>
            <filter val="161-48"/>
            <filter val="161-49"/>
            <filter val="161-5"/>
            <filter val="161-50"/>
            <filter val="161-51"/>
            <filter val="161-52"/>
            <filter val="161-53"/>
            <filter val="161-54"/>
            <filter val="161-55"/>
            <filter val="161-56"/>
            <filter val="161-57"/>
            <filter val="161-58"/>
            <filter val="161-59"/>
            <filter val="161-6"/>
            <filter val="161-60"/>
            <filter val="161-61"/>
            <filter val="161-62"/>
            <filter val="161-63"/>
            <filter val="161-64"/>
            <filter val="161-65"/>
            <filter val="161-66"/>
            <filter val="161-67"/>
            <filter val="161-68"/>
            <filter val="161-69"/>
            <filter val="161-7"/>
            <filter val="161-70"/>
            <filter val="161-71"/>
            <filter val="161-72"/>
            <filter val="161-73"/>
            <filter val="161-74"/>
            <filter val="161-75"/>
            <filter val="161-76"/>
            <filter val="161-77"/>
            <filter val="161-78"/>
            <filter val="161-79"/>
            <filter val="161-8"/>
            <filter val="161-9"/>
            <filter val="170-27"/>
            <filter val="170-28"/>
            <filter val="170-29"/>
            <filter val="170-30"/>
            <filter val="170-31"/>
            <filter val="170-32"/>
            <filter val="170-33"/>
            <filter val="170-34"/>
            <filter val="170-35"/>
            <filter val="170-36"/>
            <filter val="170-37"/>
            <filter val="170-38"/>
            <filter val="170-39"/>
            <filter val="170-40"/>
            <filter val="180-24"/>
            <filter val="180-25"/>
            <filter val="180-26"/>
            <filter val="180-27"/>
            <filter val="180-28"/>
            <filter val="180-29"/>
            <filter val="180-30"/>
            <filter val="180-31"/>
            <filter val="180-32"/>
            <filter val="180-33"/>
            <filter val="180-34"/>
            <filter val="180-35"/>
            <filter val="180-36"/>
            <filter val="180-37"/>
            <filter val="180-38"/>
            <filter val="180-39"/>
            <filter val="180-40"/>
          </filters>
        </filterColumn>
      </autoFilter>
    </customSheetView>
    <customSheetView guid="{79F34526-313D-4CF2-A966-0D6C47098B2D}" filter="1" showAutoFilter="1">
      <pageMargins left="0.7" right="0.7" top="0.75" bottom="0.75" header="0.3" footer="0.3"/>
      <autoFilter ref="A1:CS620" xr:uid="{928F20AB-3738-49F2-A4A0-460C18A26DE9}">
        <filterColumn colId="0">
          <filters>
            <filter val="Inversión"/>
          </filters>
        </filterColumn>
        <filterColumn colId="1">
          <filters>
            <filter val="Subdirección de Minería"/>
          </filters>
        </filterColumn>
      </autoFilter>
    </customSheetView>
    <customSheetView guid="{D5009EF8-1BE7-4276-A44E-5EFB20C48845}" filter="1" showAutoFilter="1">
      <pageMargins left="0.7" right="0.7" top="0.75" bottom="0.75" header="0.3" footer="0.3"/>
      <autoFilter ref="A1:CS620" xr:uid="{BA10E416-3FA5-4E09-9411-E208D9EBF154}">
        <filterColumn colId="2">
          <filters>
            <filter val="Territorial"/>
          </filters>
        </filterColumn>
        <filterColumn colId="7">
          <filters>
            <filter val="1 - DOCUMENTO PARA LA PLANEACIÓN ESTRATÉGICA EN TI"/>
            <filter val="1 - DOCUMENTOS DE LINEAMIENTOS TÉCNICOS"/>
            <filter val="1 - DOCUMENTOS DE LINEAMIENTOS TÉCNICOS - PARA EL DESARROLLO DEL SECTOR DE HIDROCARBUROS"/>
            <filter val="1 - DOCUMENTOS DE LINEAMIENTOS TÉCNICOS PARA EL GOBIERNO DE DATOS Y GESTIÓN DE LA INFORMACIÓN"/>
            <filter val="1 - DOCUMENTOS DE PLANEACIÓN"/>
            <filter val="1 - DOCUMENTOS DE PLANEACIÓN ESTRATÉGICA DEL SECTOR DE HIDROCARBUROS"/>
            <filter val="1 - DOCUMENTOS METODOLÓGICOS"/>
            <filter val="1 - SERVICIO DE ASISTENCIA TÉCNICA EN LA ESTRUCTURACIÓN DE CONVOCATORIAS DE LOS SISTEMAS DE TRANSMISIÓN DE ENERGÍA"/>
            <filter val="1 - SERVICIO DE DIVULGACIÓN DEL SECTOR MINERO ENERGÉTICO"/>
            <filter val="1 - SERVICIO DE EDUCACIÓN INFORMAL PARA LA GESTIÓN ADMINISTRATIVA"/>
            <filter val="1 - SERVICIO DE IMPLEMENTACIÓN SISTEMAS DE GESTIÓN"/>
            <filter val="1 - SERVICIO DE INFORMACIÓN ACTUALIZADO PARA EL ANÁLISIS Y TOMA DE DECISIONES ESTRATÉGICAS DEL SECTOR"/>
            <filter val="1 - SERVICIO DE INFORMACIÓN IMPLEMENTADO E INTEROPERADO"/>
            <filter val="1 - SERVICIO DE INFORMACIÓN IMPLEMENTADO PARA LA ACCESIBILIDAD SECTORIAL"/>
            <filter val="1 - SERVICIOS DE INFORMACIÓN IMPLEMENTADOS"/>
            <filter val="1 - SERVICIOS TECNOLÓGICOS"/>
            <filter val="1- DOCUMENTOS DE LINEAMIENTOS TÉCNICOS PARA LA PRODUCCIÓN DE INFORMACIÓN DEL SECTOR CON ESTÁNDARES DE CALIDAD"/>
            <filter val="2 - DOCUMENTOS DE LINEAMIENTOS TÉCNICOS"/>
            <filter val="2 - DOCUMENTOS DE PLANEACIÓN"/>
            <filter val="2 - DOCUMENTOS METODOLÓGICOS"/>
            <filter val="2 - SERVICIO DE ASISTENCIA TÉCNICA"/>
            <filter val="2 - SERVICIO DE DIVULGACIÓN DEL SECTOR MINERO ENERGÉTICO"/>
            <filter val="3 - DOCUMENTOS METODOLÓGICOS"/>
            <filter val="4 - DOCUMENTOS DE PLANEACIÓN"/>
            <filter val="5 - DOCUMENTOS DE PLANEACIÓN"/>
            <filter val="N.A"/>
          </filters>
        </filterColumn>
      </autoFilter>
    </customSheetView>
    <customSheetView guid="{D23EF4C3-5350-445E-A0A7-558492830D52}" filter="1" showAutoFilter="1">
      <pageMargins left="0.7" right="0.7" top="0.75" bottom="0.75" header="0.3" footer="0.3"/>
      <autoFilter ref="A1:CS620" xr:uid="{F4533AAD-3A04-4D1C-8934-E1A715A30DBA}"/>
    </customSheetView>
    <customSheetView guid="{E29F7C0F-2FBC-4C25-BAE8-01A24005CEF1}" filter="1" showAutoFilter="1">
      <pageMargins left="0.7" right="0.7" top="0.75" bottom="0.75" header="0.3" footer="0.3"/>
      <autoFilter ref="A1:CS620" xr:uid="{CAD48EDA-04A2-4AEF-99EF-1EAB8C17674D}">
        <filterColumn colId="59">
          <filters>
            <filter val="39525"/>
            <filter val="39625"/>
            <filter val="39725"/>
            <filter val="39825"/>
          </filters>
        </filterColumn>
      </autoFilter>
    </customSheetView>
    <customSheetView guid="{7484E0A0-6516-42FC-BECF-0E81A1F4B71A}" filter="1" showAutoFilter="1">
      <pageMargins left="0.7" right="0.7" top="0.75" bottom="0.75" header="0.3" footer="0.3"/>
      <autoFilter ref="A1:CS615" xr:uid="{ACD32FED-E3DE-40A2-B6B9-E8EE087F406C}">
        <filterColumn colId="0">
          <filters>
            <filter val="Inversión"/>
          </filters>
        </filterColumn>
      </autoFilter>
    </customSheetView>
  </customSheetViews>
  <mergeCells count="4">
    <mergeCell ref="A1:B6"/>
    <mergeCell ref="C1:AA6"/>
    <mergeCell ref="AB1:AB2"/>
    <mergeCell ref="AB3:AB4"/>
  </mergeCells>
  <dataValidations count="1">
    <dataValidation type="decimal" allowBlank="1" showInputMessage="1" showErrorMessage="1" prompt="PAC - Registre solo valores enteros " sqref="AU9:AZ11 AU26:AZ27 AU55:AZ55 AU57:AZ57 AU59:AZ60 AI71 AU71:AZ71 AI88:AI90 AU88:AZ90 AU96:AZ96 AU108:AZ108 AU111:AZ113 AU116:AZ116 AU119:AZ120 AU125:AZ125 AU127:AZ127 AU134:AZ134 AC135:AZ136 AC151:AH151 AJ151:AZ151 AU152:AZ156 AV168 AX168 AZ168 AU171:AZ172 AV180 AX180 AZ180 AU185:AZ190 AZ194 AU196:AZ200 AU202:AZ202 AU206:AZ206 AU211:AZ211 AU217:AZ218 AV219 AX219 AZ219 AU220:AZ221 AU225:AZ225 AU237 AW237 AZ226:AZ243 AU253:AZ253 AU256:AZ256 AU258:AZ259 AU262:AZ262 AU272:AZ282 AU284 AW284 AY284:AZ284 AU285:AZ287 AU289:AZ289 AU292:AZ292 AU295:AZ297 AU299:AZ299 AU302:AZ304 AU307:AZ307 AU309:AZ313 AU315:AZ315 AU317:AZ317 AU319:AZ319 AU321:AZ321 AU325:AZ325 AU328 AW328 AY328 AU329:AZ329 AU344:AZ344 AU351:AZ351 AU356:AZ356 AU359:AZ359 AU369:AZ383 AU419:AZ419 AV425:AZ425 AU427:AZ427 AU432:AZ433 AU443:AZ445 AU447:AZ447 AU448 AW448 AY448 AU449:AZ450 AU455:AZ455 AU458:AZ459 AU461:AZ462 AU466:AZ466 AU471:AZ472 AU474 AW474 AY474 AU475:AZ477 AU478 AW478 AY478:AZ478 AU479:AZ488 AU574:AZ574 AU582:AZ582" xr:uid="{00000000-0002-0000-0000-000000000000}">
      <formula1>0</formula1>
      <formula2>9.99999999999999E+39</formula2>
    </dataValidation>
  </dataValidations>
  <hyperlinks>
    <hyperlink ref="AB38" r:id="rId1" xr:uid="{00000000-0004-0000-0000-000000000000}"/>
    <hyperlink ref="AB39" r:id="rId2" xr:uid="{00000000-0004-0000-0000-000001000000}"/>
  </hyperlinks>
  <pageMargins left="0.7" right="0.7" top="0.75" bottom="0.75" header="0" footer="0"/>
  <pageSetup orientation="landscape"/>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C25"/>
  <sheetViews>
    <sheetView showGridLines="0" workbookViewId="0"/>
  </sheetViews>
  <sheetFormatPr baseColWidth="10" defaultColWidth="12.5703125" defaultRowHeight="15" customHeight="1"/>
  <cols>
    <col min="1" max="1" width="36.42578125" customWidth="1"/>
    <col min="2" max="2" width="24.28515625" customWidth="1"/>
    <col min="3" max="3" width="31.42578125" customWidth="1"/>
    <col min="4" max="4" width="34" customWidth="1"/>
  </cols>
  <sheetData>
    <row r="1" spans="1:3">
      <c r="A1" s="141" t="s">
        <v>0</v>
      </c>
      <c r="B1" s="142" t="s">
        <v>59</v>
      </c>
    </row>
    <row r="2" spans="1:3"/>
    <row r="3" spans="1:3">
      <c r="A3" s="134" t="s">
        <v>1</v>
      </c>
      <c r="B3" s="143" t="s">
        <v>1678</v>
      </c>
    </row>
    <row r="4" spans="1:3">
      <c r="A4" s="133" t="s">
        <v>1142</v>
      </c>
      <c r="B4" s="242">
        <v>3500000000</v>
      </c>
    </row>
    <row r="5" spans="1:3">
      <c r="A5" s="139" t="s">
        <v>187</v>
      </c>
      <c r="B5" s="243">
        <v>1033613976</v>
      </c>
    </row>
    <row r="6" spans="1:3">
      <c r="A6" s="139" t="s">
        <v>268</v>
      </c>
      <c r="B6" s="243">
        <v>1500000000</v>
      </c>
    </row>
    <row r="7" spans="1:3">
      <c r="A7" s="139" t="s">
        <v>371</v>
      </c>
      <c r="B7" s="243">
        <v>3896327879</v>
      </c>
    </row>
    <row r="8" spans="1:3">
      <c r="A8" s="139" t="s">
        <v>60</v>
      </c>
      <c r="B8" s="243">
        <v>1238299313</v>
      </c>
    </row>
    <row r="9" spans="1:3">
      <c r="A9" s="139" t="s">
        <v>1057</v>
      </c>
      <c r="B9" s="243">
        <v>4037375584</v>
      </c>
    </row>
    <row r="10" spans="1:3">
      <c r="A10" s="139" t="s">
        <v>523</v>
      </c>
      <c r="B10" s="243">
        <v>5840214519</v>
      </c>
    </row>
    <row r="11" spans="1:3">
      <c r="A11" s="139" t="s">
        <v>804</v>
      </c>
      <c r="B11" s="243">
        <v>2200000000</v>
      </c>
    </row>
    <row r="12" spans="1:3">
      <c r="A12" s="139" t="s">
        <v>958</v>
      </c>
      <c r="B12" s="243">
        <v>2800000000</v>
      </c>
    </row>
    <row r="13" spans="1:3">
      <c r="A13" s="139" t="s">
        <v>712</v>
      </c>
      <c r="B13" s="243">
        <v>2000000000</v>
      </c>
    </row>
    <row r="14" spans="1:3" ht="15" customHeight="1">
      <c r="A14" s="140" t="s">
        <v>1649</v>
      </c>
      <c r="B14" s="244">
        <v>28045831271</v>
      </c>
    </row>
    <row r="15" spans="1:3"/>
    <row r="16" spans="1:3">
      <c r="A16" s="11" t="s">
        <v>1644</v>
      </c>
      <c r="B16" s="120" t="e">
        <f>C2/B2</f>
        <v>#DIV/0!</v>
      </c>
      <c r="C16" s="120" t="e">
        <f>D2/B2</f>
        <v>#DIV/0!</v>
      </c>
    </row>
    <row r="17" spans="1:3">
      <c r="A17" s="11" t="s">
        <v>61</v>
      </c>
      <c r="B17" s="120" t="e">
        <f>(C3+C6)/(B3+B6)</f>
        <v>#VALUE!</v>
      </c>
      <c r="C17" s="120" t="e">
        <f>(D3+D6)/(B3+B6)</f>
        <v>#VALUE!</v>
      </c>
    </row>
    <row r="18" spans="1:3">
      <c r="A18" s="11" t="s">
        <v>269</v>
      </c>
      <c r="B18" s="120">
        <f t="shared" ref="B18:B19" si="0">C4/B4</f>
        <v>0</v>
      </c>
      <c r="C18" s="120">
        <f t="shared" ref="C18:C19" si="1">D4/B4</f>
        <v>0</v>
      </c>
    </row>
    <row r="19" spans="1:3">
      <c r="A19" s="11" t="s">
        <v>1645</v>
      </c>
      <c r="B19" s="120">
        <f t="shared" si="0"/>
        <v>0</v>
      </c>
      <c r="C19" s="120">
        <f t="shared" si="1"/>
        <v>0</v>
      </c>
    </row>
    <row r="20" spans="1:3">
      <c r="A20" s="11" t="s">
        <v>1058</v>
      </c>
      <c r="B20" s="120">
        <f t="shared" ref="B20:B25" si="2">C7/B7</f>
        <v>0</v>
      </c>
      <c r="C20" s="120">
        <f t="shared" ref="C20:C25" si="3">D7/B7</f>
        <v>0</v>
      </c>
    </row>
    <row r="21" spans="1:3">
      <c r="A21" s="11" t="s">
        <v>524</v>
      </c>
      <c r="B21" s="120">
        <f t="shared" si="2"/>
        <v>0</v>
      </c>
      <c r="C21" s="120">
        <f t="shared" si="3"/>
        <v>0</v>
      </c>
    </row>
    <row r="22" spans="1:3">
      <c r="A22" s="11" t="s">
        <v>805</v>
      </c>
      <c r="B22" s="120">
        <f t="shared" si="2"/>
        <v>0</v>
      </c>
      <c r="C22" s="120">
        <f t="shared" si="3"/>
        <v>0</v>
      </c>
    </row>
    <row r="23" spans="1:3">
      <c r="A23" s="11" t="s">
        <v>959</v>
      </c>
      <c r="B23" s="120">
        <f t="shared" si="2"/>
        <v>0</v>
      </c>
      <c r="C23" s="120">
        <f t="shared" si="3"/>
        <v>0</v>
      </c>
    </row>
    <row r="24" spans="1:3">
      <c r="A24" s="11" t="s">
        <v>713</v>
      </c>
      <c r="B24" s="120">
        <f t="shared" si="2"/>
        <v>0</v>
      </c>
      <c r="C24" s="120">
        <f t="shared" si="3"/>
        <v>0</v>
      </c>
    </row>
    <row r="25" spans="1:3">
      <c r="A25" s="121"/>
      <c r="B25" s="122">
        <f t="shared" si="2"/>
        <v>0</v>
      </c>
      <c r="C25" s="122">
        <f t="shared" si="3"/>
        <v>0</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M1000"/>
  <sheetViews>
    <sheetView workbookViewId="0"/>
  </sheetViews>
  <sheetFormatPr baseColWidth="10" defaultColWidth="12.5703125" defaultRowHeight="15" customHeight="1"/>
  <cols>
    <col min="1" max="1" width="66.7109375" customWidth="1"/>
    <col min="2" max="2" width="38.140625" customWidth="1"/>
    <col min="3" max="3" width="106.140625" customWidth="1"/>
    <col min="4" max="4" width="23.42578125" customWidth="1"/>
    <col min="5" max="13" width="19.140625" customWidth="1"/>
  </cols>
  <sheetData>
    <row r="1" spans="1:13">
      <c r="A1" s="141" t="s">
        <v>0</v>
      </c>
      <c r="B1" s="142" t="s">
        <v>59</v>
      </c>
    </row>
    <row r="2" spans="1:13"/>
    <row r="3" spans="1:13">
      <c r="A3" s="134" t="s">
        <v>1678</v>
      </c>
      <c r="B3" s="135"/>
      <c r="C3" s="135"/>
      <c r="D3" s="134" t="s">
        <v>1</v>
      </c>
      <c r="E3" s="135"/>
      <c r="F3" s="135"/>
      <c r="G3" s="135"/>
      <c r="H3" s="135"/>
      <c r="I3" s="135"/>
      <c r="J3" s="135"/>
      <c r="K3" s="135"/>
      <c r="L3" s="135"/>
      <c r="M3" s="136"/>
    </row>
    <row r="4" spans="1:13">
      <c r="A4" s="134" t="s">
        <v>7</v>
      </c>
      <c r="B4" s="134" t="s">
        <v>10</v>
      </c>
      <c r="C4" s="134" t="s">
        <v>8</v>
      </c>
      <c r="D4" s="133" t="s">
        <v>1142</v>
      </c>
      <c r="E4" s="137" t="s">
        <v>187</v>
      </c>
      <c r="F4" s="137" t="s">
        <v>268</v>
      </c>
      <c r="G4" s="137" t="s">
        <v>371</v>
      </c>
      <c r="H4" s="137" t="s">
        <v>60</v>
      </c>
      <c r="I4" s="137" t="s">
        <v>1057</v>
      </c>
      <c r="J4" s="137" t="s">
        <v>523</v>
      </c>
      <c r="K4" s="137" t="s">
        <v>804</v>
      </c>
      <c r="L4" s="137" t="s">
        <v>958</v>
      </c>
      <c r="M4" s="138" t="s">
        <v>712</v>
      </c>
    </row>
    <row r="5" spans="1:13">
      <c r="A5" s="133" t="s">
        <v>375</v>
      </c>
      <c r="B5" s="133" t="s">
        <v>377</v>
      </c>
      <c r="C5" s="133" t="s">
        <v>376</v>
      </c>
      <c r="D5" s="233"/>
      <c r="E5" s="234"/>
      <c r="F5" s="234"/>
      <c r="G5" s="234">
        <v>89243000</v>
      </c>
      <c r="H5" s="234"/>
      <c r="I5" s="234"/>
      <c r="J5" s="234"/>
      <c r="K5" s="234"/>
      <c r="L5" s="234"/>
      <c r="M5" s="235"/>
    </row>
    <row r="6" spans="1:13">
      <c r="A6" s="144"/>
      <c r="B6" s="144"/>
      <c r="C6" s="139" t="s">
        <v>380</v>
      </c>
      <c r="D6" s="236"/>
      <c r="E6" s="237"/>
      <c r="F6" s="237"/>
      <c r="G6" s="237">
        <v>783892480</v>
      </c>
      <c r="H6" s="237"/>
      <c r="I6" s="237"/>
      <c r="J6" s="237"/>
      <c r="K6" s="237"/>
      <c r="L6" s="237"/>
      <c r="M6" s="238"/>
    </row>
    <row r="7" spans="1:13">
      <c r="A7" s="133" t="s">
        <v>1084</v>
      </c>
      <c r="B7" s="133" t="s">
        <v>1085</v>
      </c>
      <c r="C7" s="133" t="s">
        <v>288</v>
      </c>
      <c r="D7" s="233"/>
      <c r="E7" s="234"/>
      <c r="F7" s="234"/>
      <c r="G7" s="234"/>
      <c r="H7" s="234"/>
      <c r="I7" s="234">
        <v>750400000</v>
      </c>
      <c r="J7" s="234"/>
      <c r="K7" s="234"/>
      <c r="L7" s="234"/>
      <c r="M7" s="235"/>
    </row>
    <row r="8" spans="1:13">
      <c r="A8" s="144"/>
      <c r="B8" s="144"/>
      <c r="C8" s="139" t="s">
        <v>296</v>
      </c>
      <c r="D8" s="236"/>
      <c r="E8" s="237"/>
      <c r="F8" s="237"/>
      <c r="G8" s="237"/>
      <c r="H8" s="237"/>
      <c r="I8" s="237">
        <v>198624000</v>
      </c>
      <c r="J8" s="237"/>
      <c r="K8" s="237"/>
      <c r="L8" s="237"/>
      <c r="M8" s="238"/>
    </row>
    <row r="9" spans="1:13">
      <c r="A9" s="133" t="s">
        <v>1004</v>
      </c>
      <c r="B9" s="133" t="s">
        <v>1005</v>
      </c>
      <c r="C9" s="133" t="s">
        <v>288</v>
      </c>
      <c r="D9" s="233"/>
      <c r="E9" s="234"/>
      <c r="F9" s="234"/>
      <c r="G9" s="234"/>
      <c r="H9" s="234"/>
      <c r="I9" s="234"/>
      <c r="J9" s="234"/>
      <c r="K9" s="234"/>
      <c r="L9" s="234">
        <v>713512590</v>
      </c>
      <c r="M9" s="235"/>
    </row>
    <row r="10" spans="1:13">
      <c r="A10" s="133" t="s">
        <v>808</v>
      </c>
      <c r="B10" s="133" t="s">
        <v>809</v>
      </c>
      <c r="C10" s="133" t="s">
        <v>819</v>
      </c>
      <c r="D10" s="233"/>
      <c r="E10" s="234"/>
      <c r="F10" s="234"/>
      <c r="G10" s="234"/>
      <c r="H10" s="234"/>
      <c r="I10" s="234"/>
      <c r="J10" s="234"/>
      <c r="K10" s="234">
        <v>42000000</v>
      </c>
      <c r="L10" s="234"/>
      <c r="M10" s="235"/>
    </row>
    <row r="11" spans="1:13">
      <c r="A11" s="144"/>
      <c r="B11" s="144"/>
      <c r="C11" s="139" t="s">
        <v>296</v>
      </c>
      <c r="D11" s="236"/>
      <c r="E11" s="237"/>
      <c r="F11" s="237"/>
      <c r="G11" s="237"/>
      <c r="H11" s="237"/>
      <c r="I11" s="237"/>
      <c r="J11" s="237"/>
      <c r="K11" s="237">
        <v>163235000</v>
      </c>
      <c r="L11" s="237"/>
      <c r="M11" s="238"/>
    </row>
    <row r="12" spans="1:13">
      <c r="A12" s="133" t="s">
        <v>1061</v>
      </c>
      <c r="B12" s="133" t="s">
        <v>1062</v>
      </c>
      <c r="C12" s="133" t="s">
        <v>717</v>
      </c>
      <c r="D12" s="233"/>
      <c r="E12" s="234"/>
      <c r="F12" s="234"/>
      <c r="G12" s="234"/>
      <c r="H12" s="234"/>
      <c r="I12" s="234">
        <v>278643200</v>
      </c>
      <c r="J12" s="234"/>
      <c r="K12" s="234"/>
      <c r="L12" s="234"/>
      <c r="M12" s="235"/>
    </row>
    <row r="13" spans="1:13">
      <c r="A13" s="144"/>
      <c r="B13" s="144"/>
      <c r="C13" s="139" t="s">
        <v>737</v>
      </c>
      <c r="D13" s="236"/>
      <c r="E13" s="237"/>
      <c r="F13" s="237"/>
      <c r="G13" s="237"/>
      <c r="H13" s="237"/>
      <c r="I13" s="237">
        <v>2054041184</v>
      </c>
      <c r="J13" s="237"/>
      <c r="K13" s="237"/>
      <c r="L13" s="237"/>
      <c r="M13" s="238"/>
    </row>
    <row r="14" spans="1:13">
      <c r="A14" s="133" t="s">
        <v>962</v>
      </c>
      <c r="B14" s="133" t="s">
        <v>963</v>
      </c>
      <c r="C14" s="133" t="s">
        <v>737</v>
      </c>
      <c r="D14" s="233"/>
      <c r="E14" s="234"/>
      <c r="F14" s="234"/>
      <c r="G14" s="234"/>
      <c r="H14" s="234"/>
      <c r="I14" s="234"/>
      <c r="J14" s="234"/>
      <c r="K14" s="234"/>
      <c r="L14" s="234">
        <v>2086487410</v>
      </c>
      <c r="M14" s="235"/>
    </row>
    <row r="15" spans="1:13">
      <c r="A15" s="133" t="s">
        <v>1079</v>
      </c>
      <c r="B15" s="133" t="s">
        <v>1080</v>
      </c>
      <c r="C15" s="133" t="s">
        <v>717</v>
      </c>
      <c r="D15" s="233"/>
      <c r="E15" s="234"/>
      <c r="F15" s="234"/>
      <c r="G15" s="234"/>
      <c r="H15" s="234"/>
      <c r="I15" s="234">
        <v>455507200</v>
      </c>
      <c r="J15" s="234"/>
      <c r="K15" s="234"/>
      <c r="L15" s="234"/>
      <c r="M15" s="235"/>
    </row>
    <row r="16" spans="1:13">
      <c r="A16" s="144"/>
      <c r="B16" s="144"/>
      <c r="C16" s="139" t="s">
        <v>1092</v>
      </c>
      <c r="D16" s="236"/>
      <c r="E16" s="237"/>
      <c r="F16" s="237"/>
      <c r="G16" s="237"/>
      <c r="H16" s="237"/>
      <c r="I16" s="237">
        <v>300160000</v>
      </c>
      <c r="J16" s="237"/>
      <c r="K16" s="237"/>
      <c r="L16" s="237"/>
      <c r="M16" s="238"/>
    </row>
    <row r="17" spans="1:13">
      <c r="A17" s="133" t="s">
        <v>584</v>
      </c>
      <c r="B17" s="133" t="s">
        <v>586</v>
      </c>
      <c r="C17" s="133" t="s">
        <v>585</v>
      </c>
      <c r="D17" s="233"/>
      <c r="E17" s="234"/>
      <c r="F17" s="234"/>
      <c r="G17" s="234"/>
      <c r="H17" s="234"/>
      <c r="I17" s="234"/>
      <c r="J17" s="234">
        <v>136358400</v>
      </c>
      <c r="K17" s="234"/>
      <c r="L17" s="234"/>
      <c r="M17" s="235"/>
    </row>
    <row r="18" spans="1:13">
      <c r="A18" s="144"/>
      <c r="B18" s="144"/>
      <c r="C18" s="139" t="s">
        <v>589</v>
      </c>
      <c r="D18" s="236"/>
      <c r="E18" s="237"/>
      <c r="F18" s="237"/>
      <c r="G18" s="237"/>
      <c r="H18" s="237"/>
      <c r="I18" s="237"/>
      <c r="J18" s="237">
        <v>662821595</v>
      </c>
      <c r="K18" s="237"/>
      <c r="L18" s="237"/>
      <c r="M18" s="238"/>
    </row>
    <row r="19" spans="1:13">
      <c r="A19" s="133" t="s">
        <v>747</v>
      </c>
      <c r="B19" s="133" t="s">
        <v>749</v>
      </c>
      <c r="C19" s="133" t="s">
        <v>764</v>
      </c>
      <c r="D19" s="233"/>
      <c r="E19" s="234"/>
      <c r="F19" s="234"/>
      <c r="G19" s="234"/>
      <c r="H19" s="234"/>
      <c r="I19" s="234"/>
      <c r="J19" s="234"/>
      <c r="K19" s="234"/>
      <c r="L19" s="234"/>
      <c r="M19" s="235">
        <v>240000000</v>
      </c>
    </row>
    <row r="20" spans="1:13">
      <c r="A20" s="144"/>
      <c r="B20" s="144"/>
      <c r="C20" s="139" t="s">
        <v>755</v>
      </c>
      <c r="D20" s="236"/>
      <c r="E20" s="237"/>
      <c r="F20" s="237"/>
      <c r="G20" s="237"/>
      <c r="H20" s="237"/>
      <c r="I20" s="237"/>
      <c r="J20" s="237"/>
      <c r="K20" s="237"/>
      <c r="L20" s="237"/>
      <c r="M20" s="238">
        <v>800000000</v>
      </c>
    </row>
    <row r="21" spans="1:13">
      <c r="A21" s="144"/>
      <c r="B21" s="144"/>
      <c r="C21" s="139" t="s">
        <v>748</v>
      </c>
      <c r="D21" s="236"/>
      <c r="E21" s="237"/>
      <c r="F21" s="237"/>
      <c r="G21" s="237"/>
      <c r="H21" s="237"/>
      <c r="I21" s="237"/>
      <c r="J21" s="237"/>
      <c r="K21" s="237"/>
      <c r="L21" s="237"/>
      <c r="M21" s="238">
        <v>160000000</v>
      </c>
    </row>
    <row r="22" spans="1:13">
      <c r="A22" s="133" t="s">
        <v>80</v>
      </c>
      <c r="B22" s="133" t="s">
        <v>82</v>
      </c>
      <c r="C22" s="133" t="s">
        <v>96</v>
      </c>
      <c r="D22" s="233"/>
      <c r="E22" s="234"/>
      <c r="F22" s="234"/>
      <c r="G22" s="234"/>
      <c r="H22" s="234">
        <v>300163229</v>
      </c>
      <c r="I22" s="234"/>
      <c r="J22" s="234"/>
      <c r="K22" s="234"/>
      <c r="L22" s="234"/>
      <c r="M22" s="235"/>
    </row>
    <row r="23" spans="1:13">
      <c r="A23" s="144"/>
      <c r="B23" s="144"/>
      <c r="C23" s="139" t="s">
        <v>81</v>
      </c>
      <c r="D23" s="236"/>
      <c r="E23" s="237"/>
      <c r="F23" s="237"/>
      <c r="G23" s="237"/>
      <c r="H23" s="237">
        <v>200957456</v>
      </c>
      <c r="I23" s="237"/>
      <c r="J23" s="237"/>
      <c r="K23" s="237"/>
      <c r="L23" s="237"/>
      <c r="M23" s="238"/>
    </row>
    <row r="24" spans="1:13">
      <c r="A24" s="133" t="s">
        <v>229</v>
      </c>
      <c r="B24" s="133" t="s">
        <v>231</v>
      </c>
      <c r="C24" s="133" t="s">
        <v>230</v>
      </c>
      <c r="D24" s="233"/>
      <c r="E24" s="234">
        <v>267293517</v>
      </c>
      <c r="F24" s="234"/>
      <c r="G24" s="234"/>
      <c r="H24" s="234"/>
      <c r="I24" s="234"/>
      <c r="J24" s="234"/>
      <c r="K24" s="234"/>
      <c r="L24" s="234"/>
      <c r="M24" s="235"/>
    </row>
    <row r="25" spans="1:13">
      <c r="A25" s="144"/>
      <c r="B25" s="144"/>
      <c r="C25" s="139" t="s">
        <v>238</v>
      </c>
      <c r="D25" s="236"/>
      <c r="E25" s="237">
        <v>202145959</v>
      </c>
      <c r="F25" s="237"/>
      <c r="G25" s="237"/>
      <c r="H25" s="237"/>
      <c r="I25" s="237"/>
      <c r="J25" s="237"/>
      <c r="K25" s="237"/>
      <c r="L25" s="237"/>
      <c r="M25" s="238"/>
    </row>
    <row r="26" spans="1:13">
      <c r="A26" s="133" t="s">
        <v>869</v>
      </c>
      <c r="B26" s="133" t="s">
        <v>870</v>
      </c>
      <c r="C26" s="133" t="s">
        <v>823</v>
      </c>
      <c r="D26" s="233"/>
      <c r="E26" s="234"/>
      <c r="F26" s="234"/>
      <c r="G26" s="234"/>
      <c r="H26" s="234"/>
      <c r="I26" s="234"/>
      <c r="J26" s="234"/>
      <c r="K26" s="234">
        <v>35000000</v>
      </c>
      <c r="L26" s="234"/>
      <c r="M26" s="235"/>
    </row>
    <row r="27" spans="1:13">
      <c r="A27" s="144"/>
      <c r="B27" s="144"/>
      <c r="C27" s="139" t="s">
        <v>827</v>
      </c>
      <c r="D27" s="236"/>
      <c r="E27" s="237"/>
      <c r="F27" s="237"/>
      <c r="G27" s="237"/>
      <c r="H27" s="237"/>
      <c r="I27" s="237"/>
      <c r="J27" s="237"/>
      <c r="K27" s="237">
        <v>282000000</v>
      </c>
      <c r="L27" s="237"/>
      <c r="M27" s="238"/>
    </row>
    <row r="28" spans="1:13">
      <c r="A28" s="133" t="s">
        <v>822</v>
      </c>
      <c r="B28" s="133" t="s">
        <v>824</v>
      </c>
      <c r="C28" s="133" t="s">
        <v>823</v>
      </c>
      <c r="D28" s="233"/>
      <c r="E28" s="234"/>
      <c r="F28" s="234"/>
      <c r="G28" s="234"/>
      <c r="H28" s="234"/>
      <c r="I28" s="234"/>
      <c r="J28" s="234"/>
      <c r="K28" s="234">
        <v>63000000</v>
      </c>
      <c r="L28" s="234"/>
      <c r="M28" s="235"/>
    </row>
    <row r="29" spans="1:13">
      <c r="A29" s="144"/>
      <c r="B29" s="144"/>
      <c r="C29" s="139" t="s">
        <v>827</v>
      </c>
      <c r="D29" s="236"/>
      <c r="E29" s="237"/>
      <c r="F29" s="237"/>
      <c r="G29" s="237"/>
      <c r="H29" s="237"/>
      <c r="I29" s="237"/>
      <c r="J29" s="237"/>
      <c r="K29" s="237">
        <v>231235000</v>
      </c>
      <c r="L29" s="237"/>
      <c r="M29" s="238"/>
    </row>
    <row r="30" spans="1:13">
      <c r="A30" s="133" t="s">
        <v>890</v>
      </c>
      <c r="B30" s="133" t="s">
        <v>824</v>
      </c>
      <c r="C30" s="133" t="s">
        <v>891</v>
      </c>
      <c r="D30" s="233"/>
      <c r="E30" s="234"/>
      <c r="F30" s="234"/>
      <c r="G30" s="234"/>
      <c r="H30" s="234"/>
      <c r="I30" s="234"/>
      <c r="J30" s="234"/>
      <c r="K30" s="234">
        <v>166950000</v>
      </c>
      <c r="L30" s="234"/>
      <c r="M30" s="235"/>
    </row>
    <row r="31" spans="1:13">
      <c r="A31" s="144"/>
      <c r="B31" s="144"/>
      <c r="C31" s="139" t="s">
        <v>827</v>
      </c>
      <c r="D31" s="236"/>
      <c r="E31" s="237"/>
      <c r="F31" s="237"/>
      <c r="G31" s="237"/>
      <c r="H31" s="237"/>
      <c r="I31" s="237"/>
      <c r="J31" s="237"/>
      <c r="K31" s="237">
        <v>425719620</v>
      </c>
      <c r="L31" s="237"/>
      <c r="M31" s="238"/>
    </row>
    <row r="32" spans="1:13">
      <c r="A32" s="133" t="s">
        <v>1175</v>
      </c>
      <c r="B32" s="133" t="s">
        <v>1177</v>
      </c>
      <c r="C32" s="133" t="s">
        <v>1245</v>
      </c>
      <c r="D32" s="233">
        <v>287832371</v>
      </c>
      <c r="E32" s="234"/>
      <c r="F32" s="234"/>
      <c r="G32" s="234"/>
      <c r="H32" s="234"/>
      <c r="I32" s="234"/>
      <c r="J32" s="234"/>
      <c r="K32" s="234"/>
      <c r="L32" s="234"/>
      <c r="M32" s="235"/>
    </row>
    <row r="33" spans="1:13">
      <c r="A33" s="144"/>
      <c r="B33" s="144"/>
      <c r="C33" s="139" t="s">
        <v>1176</v>
      </c>
      <c r="D33" s="236">
        <v>803078124</v>
      </c>
      <c r="E33" s="237"/>
      <c r="F33" s="237"/>
      <c r="G33" s="237"/>
      <c r="H33" s="237"/>
      <c r="I33" s="237"/>
      <c r="J33" s="237"/>
      <c r="K33" s="237"/>
      <c r="L33" s="237"/>
      <c r="M33" s="238"/>
    </row>
    <row r="34" spans="1:13">
      <c r="A34" s="133" t="s">
        <v>404</v>
      </c>
      <c r="B34" s="133" t="s">
        <v>406</v>
      </c>
      <c r="C34" s="133" t="s">
        <v>405</v>
      </c>
      <c r="D34" s="233"/>
      <c r="E34" s="234"/>
      <c r="F34" s="234"/>
      <c r="G34" s="234">
        <v>314900000</v>
      </c>
      <c r="H34" s="234"/>
      <c r="I34" s="234"/>
      <c r="J34" s="234"/>
      <c r="K34" s="234"/>
      <c r="L34" s="234"/>
      <c r="M34" s="235"/>
    </row>
    <row r="35" spans="1:13">
      <c r="A35" s="144"/>
      <c r="B35" s="144"/>
      <c r="C35" s="139" t="s">
        <v>484</v>
      </c>
      <c r="D35" s="236"/>
      <c r="E35" s="237"/>
      <c r="F35" s="237"/>
      <c r="G35" s="237">
        <v>3400000</v>
      </c>
      <c r="H35" s="237"/>
      <c r="I35" s="237"/>
      <c r="J35" s="237"/>
      <c r="K35" s="237"/>
      <c r="L35" s="237"/>
      <c r="M35" s="238"/>
    </row>
    <row r="36" spans="1:13">
      <c r="A36" s="133" t="s">
        <v>390</v>
      </c>
      <c r="B36" s="133" t="s">
        <v>392</v>
      </c>
      <c r="C36" s="133" t="s">
        <v>413</v>
      </c>
      <c r="D36" s="233"/>
      <c r="E36" s="234"/>
      <c r="F36" s="234"/>
      <c r="G36" s="234">
        <v>582828732</v>
      </c>
      <c r="H36" s="234"/>
      <c r="I36" s="234"/>
      <c r="J36" s="234"/>
      <c r="K36" s="234"/>
      <c r="L36" s="234"/>
      <c r="M36" s="235"/>
    </row>
    <row r="37" spans="1:13">
      <c r="A37" s="144"/>
      <c r="B37" s="144"/>
      <c r="C37" s="139" t="s">
        <v>391</v>
      </c>
      <c r="D37" s="236"/>
      <c r="E37" s="237"/>
      <c r="F37" s="237"/>
      <c r="G37" s="237">
        <v>2122063667</v>
      </c>
      <c r="H37" s="237"/>
      <c r="I37" s="237"/>
      <c r="J37" s="237"/>
      <c r="K37" s="237"/>
      <c r="L37" s="237"/>
      <c r="M37" s="238"/>
    </row>
    <row r="38" spans="1:13">
      <c r="A38" s="133" t="s">
        <v>842</v>
      </c>
      <c r="B38" s="133" t="s">
        <v>809</v>
      </c>
      <c r="C38" s="133" t="s">
        <v>819</v>
      </c>
      <c r="D38" s="233"/>
      <c r="E38" s="234"/>
      <c r="F38" s="234"/>
      <c r="G38" s="234"/>
      <c r="H38" s="234"/>
      <c r="I38" s="234"/>
      <c r="J38" s="234"/>
      <c r="K38" s="234">
        <v>99455000</v>
      </c>
      <c r="L38" s="234"/>
      <c r="M38" s="235"/>
    </row>
    <row r="39" spans="1:13">
      <c r="A39" s="144"/>
      <c r="B39" s="144"/>
      <c r="C39" s="139" t="s">
        <v>288</v>
      </c>
      <c r="D39" s="236"/>
      <c r="E39" s="237"/>
      <c r="F39" s="237"/>
      <c r="G39" s="237"/>
      <c r="H39" s="237"/>
      <c r="I39" s="237"/>
      <c r="J39" s="237"/>
      <c r="K39" s="237">
        <v>338960160</v>
      </c>
      <c r="L39" s="237"/>
      <c r="M39" s="238"/>
    </row>
    <row r="40" spans="1:13">
      <c r="A40" s="133" t="s">
        <v>287</v>
      </c>
      <c r="B40" s="133" t="s">
        <v>289</v>
      </c>
      <c r="C40" s="133" t="s">
        <v>288</v>
      </c>
      <c r="D40" s="233"/>
      <c r="E40" s="234"/>
      <c r="F40" s="234">
        <v>110604000</v>
      </c>
      <c r="G40" s="234"/>
      <c r="H40" s="234"/>
      <c r="I40" s="234"/>
      <c r="J40" s="234"/>
      <c r="K40" s="234"/>
      <c r="L40" s="234"/>
      <c r="M40" s="235"/>
    </row>
    <row r="41" spans="1:13">
      <c r="A41" s="144"/>
      <c r="B41" s="144"/>
      <c r="C41" s="139" t="s">
        <v>296</v>
      </c>
      <c r="D41" s="236"/>
      <c r="E41" s="237"/>
      <c r="F41" s="237">
        <v>1280793005</v>
      </c>
      <c r="G41" s="237"/>
      <c r="H41" s="237"/>
      <c r="I41" s="237"/>
      <c r="J41" s="237"/>
      <c r="K41" s="237"/>
      <c r="L41" s="237"/>
      <c r="M41" s="238"/>
    </row>
    <row r="42" spans="1:13">
      <c r="A42" s="133" t="s">
        <v>527</v>
      </c>
      <c r="B42" s="133" t="s">
        <v>529</v>
      </c>
      <c r="C42" s="133" t="s">
        <v>528</v>
      </c>
      <c r="D42" s="233"/>
      <c r="E42" s="234"/>
      <c r="F42" s="234"/>
      <c r="G42" s="234"/>
      <c r="H42" s="234"/>
      <c r="I42" s="234"/>
      <c r="J42" s="234">
        <v>5041034524</v>
      </c>
      <c r="K42" s="234"/>
      <c r="L42" s="234"/>
      <c r="M42" s="235"/>
    </row>
    <row r="43" spans="1:13">
      <c r="A43" s="133" t="s">
        <v>65</v>
      </c>
      <c r="B43" s="133" t="s">
        <v>1147</v>
      </c>
      <c r="C43" s="133" t="s">
        <v>1214</v>
      </c>
      <c r="D43" s="233">
        <v>915127806</v>
      </c>
      <c r="E43" s="234"/>
      <c r="F43" s="234"/>
      <c r="G43" s="234"/>
      <c r="H43" s="234"/>
      <c r="I43" s="234"/>
      <c r="J43" s="234"/>
      <c r="K43" s="234"/>
      <c r="L43" s="234"/>
      <c r="M43" s="235"/>
    </row>
    <row r="44" spans="1:13">
      <c r="A44" s="144"/>
      <c r="B44" s="144"/>
      <c r="C44" s="139" t="s">
        <v>1146</v>
      </c>
      <c r="D44" s="236">
        <v>1493961699</v>
      </c>
      <c r="E44" s="237"/>
      <c r="F44" s="237"/>
      <c r="G44" s="237"/>
      <c r="H44" s="237"/>
      <c r="I44" s="237"/>
      <c r="J44" s="237"/>
      <c r="K44" s="237"/>
      <c r="L44" s="237"/>
      <c r="M44" s="238"/>
    </row>
    <row r="45" spans="1:13">
      <c r="A45" s="144"/>
      <c r="B45" s="133" t="s">
        <v>68</v>
      </c>
      <c r="C45" s="133" t="s">
        <v>66</v>
      </c>
      <c r="D45" s="233"/>
      <c r="E45" s="234"/>
      <c r="F45" s="234"/>
      <c r="G45" s="234"/>
      <c r="H45" s="234">
        <v>737178628</v>
      </c>
      <c r="I45" s="234"/>
      <c r="J45" s="234"/>
      <c r="K45" s="234"/>
      <c r="L45" s="234"/>
      <c r="M45" s="235"/>
    </row>
    <row r="46" spans="1:13">
      <c r="A46" s="133" t="s">
        <v>272</v>
      </c>
      <c r="B46" s="133" t="s">
        <v>274</v>
      </c>
      <c r="C46" s="133" t="s">
        <v>273</v>
      </c>
      <c r="D46" s="233"/>
      <c r="E46" s="234"/>
      <c r="F46" s="234">
        <v>50000000</v>
      </c>
      <c r="G46" s="234"/>
      <c r="H46" s="234"/>
      <c r="I46" s="234"/>
      <c r="J46" s="234"/>
      <c r="K46" s="234"/>
      <c r="L46" s="234"/>
      <c r="M46" s="235"/>
    </row>
    <row r="47" spans="1:13">
      <c r="A47" s="144"/>
      <c r="B47" s="144"/>
      <c r="C47" s="139" t="s">
        <v>282</v>
      </c>
      <c r="D47" s="236"/>
      <c r="E47" s="237"/>
      <c r="F47" s="237">
        <v>58602995</v>
      </c>
      <c r="G47" s="237"/>
      <c r="H47" s="237"/>
      <c r="I47" s="237"/>
      <c r="J47" s="237"/>
      <c r="K47" s="237"/>
      <c r="L47" s="237"/>
      <c r="M47" s="238"/>
    </row>
    <row r="48" spans="1:13">
      <c r="A48" s="133" t="s">
        <v>912</v>
      </c>
      <c r="B48" s="133" t="s">
        <v>914</v>
      </c>
      <c r="C48" s="133" t="s">
        <v>924</v>
      </c>
      <c r="D48" s="233"/>
      <c r="E48" s="234"/>
      <c r="F48" s="234"/>
      <c r="G48" s="234"/>
      <c r="H48" s="234"/>
      <c r="I48" s="234"/>
      <c r="J48" s="234"/>
      <c r="K48" s="234">
        <v>146945220</v>
      </c>
      <c r="L48" s="234"/>
      <c r="M48" s="235"/>
    </row>
    <row r="49" spans="1:13">
      <c r="A49" s="144"/>
      <c r="B49" s="144"/>
      <c r="C49" s="139" t="s">
        <v>913</v>
      </c>
      <c r="D49" s="236"/>
      <c r="E49" s="237"/>
      <c r="F49" s="237"/>
      <c r="G49" s="237"/>
      <c r="H49" s="237"/>
      <c r="I49" s="237"/>
      <c r="J49" s="237"/>
      <c r="K49" s="237">
        <v>205500000</v>
      </c>
      <c r="L49" s="237"/>
      <c r="M49" s="238"/>
    </row>
    <row r="50" spans="1:13">
      <c r="A50" s="133" t="s">
        <v>245</v>
      </c>
      <c r="B50" s="133" t="s">
        <v>68</v>
      </c>
      <c r="C50" s="133" t="s">
        <v>246</v>
      </c>
      <c r="D50" s="233"/>
      <c r="E50" s="234">
        <v>192509986</v>
      </c>
      <c r="F50" s="234"/>
      <c r="G50" s="234"/>
      <c r="H50" s="234"/>
      <c r="I50" s="234"/>
      <c r="J50" s="234"/>
      <c r="K50" s="234"/>
      <c r="L50" s="234"/>
      <c r="M50" s="235"/>
    </row>
    <row r="51" spans="1:13">
      <c r="A51" s="133" t="s">
        <v>716</v>
      </c>
      <c r="B51" s="133" t="s">
        <v>718</v>
      </c>
      <c r="C51" s="133" t="s">
        <v>717</v>
      </c>
      <c r="D51" s="233"/>
      <c r="E51" s="234"/>
      <c r="F51" s="234"/>
      <c r="G51" s="234"/>
      <c r="H51" s="234"/>
      <c r="I51" s="234"/>
      <c r="J51" s="234"/>
      <c r="K51" s="234"/>
      <c r="L51" s="234"/>
      <c r="M51" s="235">
        <v>320000000</v>
      </c>
    </row>
    <row r="52" spans="1:13">
      <c r="A52" s="144"/>
      <c r="B52" s="144"/>
      <c r="C52" s="139" t="s">
        <v>737</v>
      </c>
      <c r="D52" s="236"/>
      <c r="E52" s="237"/>
      <c r="F52" s="237"/>
      <c r="G52" s="237"/>
      <c r="H52" s="237"/>
      <c r="I52" s="237"/>
      <c r="J52" s="237"/>
      <c r="K52" s="237"/>
      <c r="L52" s="237"/>
      <c r="M52" s="238">
        <v>320000000</v>
      </c>
    </row>
    <row r="53" spans="1:13">
      <c r="A53" s="144"/>
      <c r="B53" s="144"/>
      <c r="C53" s="139" t="s">
        <v>528</v>
      </c>
      <c r="D53" s="236"/>
      <c r="E53" s="237"/>
      <c r="F53" s="237"/>
      <c r="G53" s="237"/>
      <c r="H53" s="237"/>
      <c r="I53" s="237"/>
      <c r="J53" s="237"/>
      <c r="K53" s="237"/>
      <c r="L53" s="237"/>
      <c r="M53" s="238">
        <v>160000000</v>
      </c>
    </row>
    <row r="54" spans="1:13">
      <c r="A54" s="133" t="s">
        <v>190</v>
      </c>
      <c r="B54" s="133" t="s">
        <v>192</v>
      </c>
      <c r="C54" s="133" t="s">
        <v>191</v>
      </c>
      <c r="D54" s="233"/>
      <c r="E54" s="234">
        <v>178265504</v>
      </c>
      <c r="F54" s="234"/>
      <c r="G54" s="234"/>
      <c r="H54" s="234"/>
      <c r="I54" s="234"/>
      <c r="J54" s="234"/>
      <c r="K54" s="234"/>
      <c r="L54" s="234"/>
      <c r="M54" s="235"/>
    </row>
    <row r="55" spans="1:13">
      <c r="A55" s="145"/>
      <c r="B55" s="145"/>
      <c r="C55" s="146" t="s">
        <v>202</v>
      </c>
      <c r="D55" s="239"/>
      <c r="E55" s="240">
        <v>193399010</v>
      </c>
      <c r="F55" s="240"/>
      <c r="G55" s="240"/>
      <c r="H55" s="240"/>
      <c r="I55" s="240"/>
      <c r="J55" s="240"/>
      <c r="K55" s="240"/>
      <c r="L55" s="240"/>
      <c r="M55" s="241"/>
    </row>
    <row r="56" spans="1:13">
      <c r="D56" s="117"/>
    </row>
    <row r="57" spans="1:13">
      <c r="D57" s="117"/>
    </row>
    <row r="58" spans="1:13">
      <c r="A58" s="141" t="s">
        <v>0</v>
      </c>
      <c r="B58" s="142" t="s">
        <v>59</v>
      </c>
      <c r="D58" s="117"/>
    </row>
    <row r="59" spans="1:13">
      <c r="D59" s="117"/>
    </row>
    <row r="60" spans="1:13">
      <c r="A60" s="133"/>
      <c r="B60" s="135"/>
      <c r="C60" s="135"/>
      <c r="D60" s="134" t="s">
        <v>1</v>
      </c>
      <c r="E60" s="135"/>
      <c r="F60" s="135"/>
      <c r="G60" s="135"/>
      <c r="H60" s="135"/>
      <c r="I60" s="135"/>
      <c r="J60" s="135"/>
      <c r="K60" s="135"/>
      <c r="L60" s="135"/>
      <c r="M60" s="136"/>
    </row>
    <row r="61" spans="1:13">
      <c r="A61" s="134" t="s">
        <v>7</v>
      </c>
      <c r="B61" s="134" t="s">
        <v>10</v>
      </c>
      <c r="C61" s="134" t="s">
        <v>8</v>
      </c>
      <c r="D61" s="133" t="s">
        <v>1142</v>
      </c>
      <c r="E61" s="137" t="s">
        <v>187</v>
      </c>
      <c r="F61" s="137" t="s">
        <v>268</v>
      </c>
      <c r="G61" s="137" t="s">
        <v>371</v>
      </c>
      <c r="H61" s="137" t="s">
        <v>60</v>
      </c>
      <c r="I61" s="137" t="s">
        <v>1057</v>
      </c>
      <c r="J61" s="137" t="s">
        <v>523</v>
      </c>
      <c r="K61" s="137" t="s">
        <v>804</v>
      </c>
      <c r="L61" s="137" t="s">
        <v>958</v>
      </c>
      <c r="M61" s="138" t="s">
        <v>712</v>
      </c>
    </row>
    <row r="62" spans="1:13">
      <c r="A62" s="133" t="s">
        <v>375</v>
      </c>
      <c r="B62" s="133" t="s">
        <v>377</v>
      </c>
      <c r="C62" s="133" t="s">
        <v>376</v>
      </c>
      <c r="D62" s="133"/>
      <c r="E62" s="135"/>
      <c r="F62" s="135"/>
      <c r="G62" s="135"/>
      <c r="H62" s="135"/>
      <c r="I62" s="135"/>
      <c r="J62" s="135"/>
      <c r="K62" s="135"/>
      <c r="L62" s="135"/>
      <c r="M62" s="136"/>
    </row>
    <row r="63" spans="1:13">
      <c r="A63" s="144"/>
      <c r="B63" s="144"/>
      <c r="C63" s="139" t="s">
        <v>380</v>
      </c>
      <c r="D63" s="144"/>
      <c r="E63" s="229"/>
      <c r="F63" s="229"/>
      <c r="G63" s="229"/>
      <c r="H63" s="229"/>
      <c r="I63" s="229"/>
      <c r="J63" s="229"/>
      <c r="K63" s="229"/>
      <c r="L63" s="229"/>
      <c r="M63" s="230"/>
    </row>
    <row r="64" spans="1:13">
      <c r="A64" s="133" t="s">
        <v>1084</v>
      </c>
      <c r="B64" s="133" t="s">
        <v>1085</v>
      </c>
      <c r="C64" s="133" t="s">
        <v>288</v>
      </c>
      <c r="D64" s="144"/>
      <c r="E64" s="229"/>
      <c r="F64" s="229"/>
      <c r="G64" s="229"/>
      <c r="H64" s="229"/>
      <c r="I64" s="229"/>
      <c r="J64" s="229"/>
      <c r="K64" s="229"/>
      <c r="L64" s="229"/>
      <c r="M64" s="230"/>
    </row>
    <row r="65" spans="1:13">
      <c r="A65" s="144"/>
      <c r="B65" s="144"/>
      <c r="C65" s="139" t="s">
        <v>296</v>
      </c>
      <c r="D65" s="144"/>
      <c r="E65" s="229"/>
      <c r="F65" s="229"/>
      <c r="G65" s="229"/>
      <c r="H65" s="229"/>
      <c r="I65" s="229"/>
      <c r="J65" s="229"/>
      <c r="K65" s="229"/>
      <c r="L65" s="229"/>
      <c r="M65" s="230"/>
    </row>
    <row r="66" spans="1:13">
      <c r="A66" s="133" t="s">
        <v>1004</v>
      </c>
      <c r="B66" s="133" t="s">
        <v>1005</v>
      </c>
      <c r="C66" s="133" t="s">
        <v>288</v>
      </c>
      <c r="D66" s="144"/>
      <c r="E66" s="229"/>
      <c r="F66" s="229"/>
      <c r="G66" s="229"/>
      <c r="H66" s="229"/>
      <c r="I66" s="229"/>
      <c r="J66" s="229"/>
      <c r="K66" s="229"/>
      <c r="L66" s="229"/>
      <c r="M66" s="230"/>
    </row>
    <row r="67" spans="1:13">
      <c r="A67" s="133" t="s">
        <v>808</v>
      </c>
      <c r="B67" s="133" t="s">
        <v>809</v>
      </c>
      <c r="C67" s="133" t="s">
        <v>819</v>
      </c>
      <c r="D67" s="144"/>
      <c r="E67" s="229"/>
      <c r="F67" s="229"/>
      <c r="G67" s="229"/>
      <c r="H67" s="229"/>
      <c r="I67" s="229"/>
      <c r="J67" s="229"/>
      <c r="K67" s="229"/>
      <c r="L67" s="229"/>
      <c r="M67" s="230"/>
    </row>
    <row r="68" spans="1:13">
      <c r="A68" s="144"/>
      <c r="B68" s="144"/>
      <c r="C68" s="139" t="s">
        <v>296</v>
      </c>
      <c r="D68" s="144"/>
      <c r="E68" s="229"/>
      <c r="F68" s="229"/>
      <c r="G68" s="229"/>
      <c r="H68" s="229"/>
      <c r="I68" s="229"/>
      <c r="J68" s="229"/>
      <c r="K68" s="229"/>
      <c r="L68" s="229"/>
      <c r="M68" s="230"/>
    </row>
    <row r="69" spans="1:13">
      <c r="A69" s="133" t="s">
        <v>1061</v>
      </c>
      <c r="B69" s="133" t="s">
        <v>1062</v>
      </c>
      <c r="C69" s="133" t="s">
        <v>717</v>
      </c>
      <c r="D69" s="144"/>
      <c r="E69" s="229"/>
      <c r="F69" s="229"/>
      <c r="G69" s="229"/>
      <c r="H69" s="229"/>
      <c r="I69" s="229"/>
      <c r="J69" s="229"/>
      <c r="K69" s="229"/>
      <c r="L69" s="229"/>
      <c r="M69" s="230"/>
    </row>
    <row r="70" spans="1:13">
      <c r="A70" s="144"/>
      <c r="B70" s="144"/>
      <c r="C70" s="139" t="s">
        <v>737</v>
      </c>
      <c r="D70" s="144"/>
      <c r="E70" s="229"/>
      <c r="F70" s="229"/>
      <c r="G70" s="229"/>
      <c r="H70" s="229"/>
      <c r="I70" s="229"/>
      <c r="J70" s="229"/>
      <c r="K70" s="229"/>
      <c r="L70" s="229"/>
      <c r="M70" s="230"/>
    </row>
    <row r="71" spans="1:13">
      <c r="A71" s="133" t="s">
        <v>962</v>
      </c>
      <c r="B71" s="133" t="s">
        <v>963</v>
      </c>
      <c r="C71" s="133" t="s">
        <v>737</v>
      </c>
      <c r="D71" s="144"/>
      <c r="E71" s="229"/>
      <c r="F71" s="229"/>
      <c r="G71" s="229"/>
      <c r="H71" s="229"/>
      <c r="I71" s="229"/>
      <c r="J71" s="229"/>
      <c r="K71" s="229"/>
      <c r="L71" s="229"/>
      <c r="M71" s="230"/>
    </row>
    <row r="72" spans="1:13">
      <c r="A72" s="133" t="s">
        <v>1079</v>
      </c>
      <c r="B72" s="133" t="s">
        <v>1080</v>
      </c>
      <c r="C72" s="133" t="s">
        <v>717</v>
      </c>
      <c r="D72" s="144"/>
      <c r="E72" s="229"/>
      <c r="F72" s="229"/>
      <c r="G72" s="229"/>
      <c r="H72" s="229"/>
      <c r="I72" s="229"/>
      <c r="J72" s="229"/>
      <c r="K72" s="229"/>
      <c r="L72" s="229"/>
      <c r="M72" s="230"/>
    </row>
    <row r="73" spans="1:13">
      <c r="A73" s="144"/>
      <c r="B73" s="144"/>
      <c r="C73" s="139" t="s">
        <v>1092</v>
      </c>
      <c r="D73" s="144"/>
      <c r="E73" s="229"/>
      <c r="F73" s="229"/>
      <c r="G73" s="229"/>
      <c r="H73" s="229"/>
      <c r="I73" s="229"/>
      <c r="J73" s="229"/>
      <c r="K73" s="229"/>
      <c r="L73" s="229"/>
      <c r="M73" s="230"/>
    </row>
    <row r="74" spans="1:13">
      <c r="A74" s="133" t="s">
        <v>584</v>
      </c>
      <c r="B74" s="133" t="s">
        <v>586</v>
      </c>
      <c r="C74" s="133" t="s">
        <v>585</v>
      </c>
      <c r="D74" s="144"/>
      <c r="E74" s="229"/>
      <c r="F74" s="229"/>
      <c r="G74" s="229"/>
      <c r="H74" s="229"/>
      <c r="I74" s="229"/>
      <c r="J74" s="229"/>
      <c r="K74" s="229"/>
      <c r="L74" s="229"/>
      <c r="M74" s="230"/>
    </row>
    <row r="75" spans="1:13">
      <c r="A75" s="144"/>
      <c r="B75" s="144"/>
      <c r="C75" s="139" t="s">
        <v>589</v>
      </c>
      <c r="D75" s="144"/>
      <c r="E75" s="229"/>
      <c r="F75" s="229"/>
      <c r="G75" s="229"/>
      <c r="H75" s="229"/>
      <c r="I75" s="229"/>
      <c r="J75" s="229"/>
      <c r="K75" s="229"/>
      <c r="L75" s="229"/>
      <c r="M75" s="230"/>
    </row>
    <row r="76" spans="1:13">
      <c r="A76" s="133" t="s">
        <v>747</v>
      </c>
      <c r="B76" s="133" t="s">
        <v>749</v>
      </c>
      <c r="C76" s="133" t="s">
        <v>764</v>
      </c>
      <c r="D76" s="144"/>
      <c r="E76" s="229"/>
      <c r="F76" s="229"/>
      <c r="G76" s="229"/>
      <c r="H76" s="229"/>
      <c r="I76" s="229"/>
      <c r="J76" s="229"/>
      <c r="K76" s="229"/>
      <c r="L76" s="229"/>
      <c r="M76" s="230"/>
    </row>
    <row r="77" spans="1:13">
      <c r="A77" s="144"/>
      <c r="B77" s="144"/>
      <c r="C77" s="139" t="s">
        <v>755</v>
      </c>
      <c r="D77" s="144"/>
      <c r="E77" s="229"/>
      <c r="F77" s="229"/>
      <c r="G77" s="229"/>
      <c r="H77" s="229"/>
      <c r="I77" s="229"/>
      <c r="J77" s="229"/>
      <c r="K77" s="229"/>
      <c r="L77" s="229"/>
      <c r="M77" s="230"/>
    </row>
    <row r="78" spans="1:13">
      <c r="A78" s="144"/>
      <c r="B78" s="144"/>
      <c r="C78" s="139" t="s">
        <v>748</v>
      </c>
      <c r="D78" s="144"/>
      <c r="E78" s="229"/>
      <c r="F78" s="229"/>
      <c r="G78" s="229"/>
      <c r="H78" s="229"/>
      <c r="I78" s="229"/>
      <c r="J78" s="229"/>
      <c r="K78" s="229"/>
      <c r="L78" s="229"/>
      <c r="M78" s="230"/>
    </row>
    <row r="79" spans="1:13">
      <c r="A79" s="133" t="s">
        <v>80</v>
      </c>
      <c r="B79" s="133" t="s">
        <v>82</v>
      </c>
      <c r="C79" s="133" t="s">
        <v>96</v>
      </c>
      <c r="D79" s="144"/>
      <c r="E79" s="229"/>
      <c r="F79" s="229"/>
      <c r="G79" s="229"/>
      <c r="H79" s="229"/>
      <c r="I79" s="229"/>
      <c r="J79" s="229"/>
      <c r="K79" s="229"/>
      <c r="L79" s="229"/>
      <c r="M79" s="230"/>
    </row>
    <row r="80" spans="1:13">
      <c r="A80" s="144"/>
      <c r="B80" s="144"/>
      <c r="C80" s="139" t="s">
        <v>81</v>
      </c>
      <c r="D80" s="144"/>
      <c r="E80" s="229"/>
      <c r="F80" s="229"/>
      <c r="G80" s="229"/>
      <c r="H80" s="229"/>
      <c r="I80" s="229"/>
      <c r="J80" s="229"/>
      <c r="K80" s="229"/>
      <c r="L80" s="229"/>
      <c r="M80" s="230"/>
    </row>
    <row r="81" spans="1:13">
      <c r="A81" s="133" t="s">
        <v>229</v>
      </c>
      <c r="B81" s="133" t="s">
        <v>231</v>
      </c>
      <c r="C81" s="133" t="s">
        <v>230</v>
      </c>
      <c r="D81" s="144"/>
      <c r="E81" s="229"/>
      <c r="F81" s="229"/>
      <c r="G81" s="229"/>
      <c r="H81" s="229"/>
      <c r="I81" s="229"/>
      <c r="J81" s="229"/>
      <c r="K81" s="229"/>
      <c r="L81" s="229"/>
      <c r="M81" s="230"/>
    </row>
    <row r="82" spans="1:13">
      <c r="A82" s="144"/>
      <c r="B82" s="144"/>
      <c r="C82" s="139" t="s">
        <v>238</v>
      </c>
      <c r="D82" s="144"/>
      <c r="E82" s="229"/>
      <c r="F82" s="229"/>
      <c r="G82" s="229"/>
      <c r="H82" s="229"/>
      <c r="I82" s="229"/>
      <c r="J82" s="229"/>
      <c r="K82" s="229"/>
      <c r="L82" s="229"/>
      <c r="M82" s="230"/>
    </row>
    <row r="83" spans="1:13">
      <c r="A83" s="133" t="s">
        <v>869</v>
      </c>
      <c r="B83" s="133" t="s">
        <v>870</v>
      </c>
      <c r="C83" s="133" t="s">
        <v>823</v>
      </c>
      <c r="D83" s="144"/>
      <c r="E83" s="229"/>
      <c r="F83" s="229"/>
      <c r="G83" s="229"/>
      <c r="H83" s="229"/>
      <c r="I83" s="229"/>
      <c r="J83" s="229"/>
      <c r="K83" s="229"/>
      <c r="L83" s="229"/>
      <c r="M83" s="230"/>
    </row>
    <row r="84" spans="1:13">
      <c r="A84" s="144"/>
      <c r="B84" s="144"/>
      <c r="C84" s="139" t="s">
        <v>827</v>
      </c>
      <c r="D84" s="144"/>
      <c r="E84" s="229"/>
      <c r="F84" s="229"/>
      <c r="G84" s="229"/>
      <c r="H84" s="229"/>
      <c r="I84" s="229"/>
      <c r="J84" s="229"/>
      <c r="K84" s="229"/>
      <c r="L84" s="229"/>
      <c r="M84" s="230"/>
    </row>
    <row r="85" spans="1:13">
      <c r="A85" s="133" t="s">
        <v>822</v>
      </c>
      <c r="B85" s="133" t="s">
        <v>824</v>
      </c>
      <c r="C85" s="133" t="s">
        <v>823</v>
      </c>
      <c r="D85" s="144"/>
      <c r="E85" s="229"/>
      <c r="F85" s="229"/>
      <c r="G85" s="229"/>
      <c r="H85" s="229"/>
      <c r="I85" s="229"/>
      <c r="J85" s="229"/>
      <c r="K85" s="229"/>
      <c r="L85" s="229"/>
      <c r="M85" s="230"/>
    </row>
    <row r="86" spans="1:13">
      <c r="A86" s="144"/>
      <c r="B86" s="144"/>
      <c r="C86" s="139" t="s">
        <v>827</v>
      </c>
      <c r="D86" s="144"/>
      <c r="E86" s="229"/>
      <c r="F86" s="229"/>
      <c r="G86" s="229"/>
      <c r="H86" s="229"/>
      <c r="I86" s="229"/>
      <c r="J86" s="229"/>
      <c r="K86" s="229"/>
      <c r="L86" s="229"/>
      <c r="M86" s="230"/>
    </row>
    <row r="87" spans="1:13">
      <c r="A87" s="133" t="s">
        <v>890</v>
      </c>
      <c r="B87" s="133" t="s">
        <v>824</v>
      </c>
      <c r="C87" s="133" t="s">
        <v>891</v>
      </c>
      <c r="D87" s="144"/>
      <c r="E87" s="229"/>
      <c r="F87" s="229"/>
      <c r="G87" s="229"/>
      <c r="H87" s="229"/>
      <c r="I87" s="229"/>
      <c r="J87" s="229"/>
      <c r="K87" s="229"/>
      <c r="L87" s="229"/>
      <c r="M87" s="230"/>
    </row>
    <row r="88" spans="1:13">
      <c r="A88" s="144"/>
      <c r="B88" s="144"/>
      <c r="C88" s="139" t="s">
        <v>827</v>
      </c>
      <c r="D88" s="144"/>
      <c r="E88" s="229"/>
      <c r="F88" s="229"/>
      <c r="G88" s="229"/>
      <c r="H88" s="229"/>
      <c r="I88" s="229"/>
      <c r="J88" s="229"/>
      <c r="K88" s="229"/>
      <c r="L88" s="229"/>
      <c r="M88" s="230"/>
    </row>
    <row r="89" spans="1:13">
      <c r="A89" s="133" t="s">
        <v>1175</v>
      </c>
      <c r="B89" s="133" t="s">
        <v>1177</v>
      </c>
      <c r="C89" s="133" t="s">
        <v>1245</v>
      </c>
      <c r="D89" s="144"/>
      <c r="E89" s="229"/>
      <c r="F89" s="229"/>
      <c r="G89" s="229"/>
      <c r="H89" s="229"/>
      <c r="I89" s="229"/>
      <c r="J89" s="229"/>
      <c r="K89" s="229"/>
      <c r="L89" s="229"/>
      <c r="M89" s="230"/>
    </row>
    <row r="90" spans="1:13">
      <c r="A90" s="144"/>
      <c r="B90" s="144"/>
      <c r="C90" s="139" t="s">
        <v>1176</v>
      </c>
      <c r="D90" s="144"/>
      <c r="E90" s="229"/>
      <c r="F90" s="229"/>
      <c r="G90" s="229"/>
      <c r="H90" s="229"/>
      <c r="I90" s="229"/>
      <c r="J90" s="229"/>
      <c r="K90" s="229"/>
      <c r="L90" s="229"/>
      <c r="M90" s="230"/>
    </row>
    <row r="91" spans="1:13">
      <c r="A91" s="133" t="s">
        <v>404</v>
      </c>
      <c r="B91" s="133" t="s">
        <v>406</v>
      </c>
      <c r="C91" s="133" t="s">
        <v>405</v>
      </c>
      <c r="D91" s="144"/>
      <c r="E91" s="229"/>
      <c r="F91" s="229"/>
      <c r="G91" s="229"/>
      <c r="H91" s="229"/>
      <c r="I91" s="229"/>
      <c r="J91" s="229"/>
      <c r="K91" s="229"/>
      <c r="L91" s="229"/>
      <c r="M91" s="230"/>
    </row>
    <row r="92" spans="1:13">
      <c r="A92" s="144"/>
      <c r="B92" s="144"/>
      <c r="C92" s="139" t="s">
        <v>484</v>
      </c>
      <c r="D92" s="144"/>
      <c r="E92" s="229"/>
      <c r="F92" s="229"/>
      <c r="G92" s="229"/>
      <c r="H92" s="229"/>
      <c r="I92" s="229"/>
      <c r="J92" s="229"/>
      <c r="K92" s="229"/>
      <c r="L92" s="229"/>
      <c r="M92" s="230"/>
    </row>
    <row r="93" spans="1:13">
      <c r="A93" s="133" t="s">
        <v>390</v>
      </c>
      <c r="B93" s="133" t="s">
        <v>392</v>
      </c>
      <c r="C93" s="133" t="s">
        <v>413</v>
      </c>
      <c r="D93" s="144"/>
      <c r="E93" s="229"/>
      <c r="F93" s="229"/>
      <c r="G93" s="229"/>
      <c r="H93" s="229"/>
      <c r="I93" s="229"/>
      <c r="J93" s="229"/>
      <c r="K93" s="229"/>
      <c r="L93" s="229"/>
      <c r="M93" s="230"/>
    </row>
    <row r="94" spans="1:13">
      <c r="A94" s="144"/>
      <c r="B94" s="144"/>
      <c r="C94" s="139" t="s">
        <v>391</v>
      </c>
      <c r="D94" s="144"/>
      <c r="E94" s="229"/>
      <c r="F94" s="229"/>
      <c r="G94" s="229"/>
      <c r="H94" s="229"/>
      <c r="I94" s="229"/>
      <c r="J94" s="229"/>
      <c r="K94" s="229"/>
      <c r="L94" s="229"/>
      <c r="M94" s="230"/>
    </row>
    <row r="95" spans="1:13">
      <c r="A95" s="133" t="s">
        <v>842</v>
      </c>
      <c r="B95" s="133" t="s">
        <v>809</v>
      </c>
      <c r="C95" s="133" t="s">
        <v>819</v>
      </c>
      <c r="D95" s="144"/>
      <c r="E95" s="229"/>
      <c r="F95" s="229"/>
      <c r="G95" s="229"/>
      <c r="H95" s="229"/>
      <c r="I95" s="229"/>
      <c r="J95" s="229"/>
      <c r="K95" s="229"/>
      <c r="L95" s="229"/>
      <c r="M95" s="230"/>
    </row>
    <row r="96" spans="1:13">
      <c r="A96" s="144"/>
      <c r="B96" s="144"/>
      <c r="C96" s="139" t="s">
        <v>288</v>
      </c>
      <c r="D96" s="144"/>
      <c r="E96" s="229"/>
      <c r="F96" s="229"/>
      <c r="G96" s="229"/>
      <c r="H96" s="229"/>
      <c r="I96" s="229"/>
      <c r="J96" s="229"/>
      <c r="K96" s="229"/>
      <c r="L96" s="229"/>
      <c r="M96" s="230"/>
    </row>
    <row r="97" spans="1:13">
      <c r="A97" s="133" t="s">
        <v>287</v>
      </c>
      <c r="B97" s="133" t="s">
        <v>289</v>
      </c>
      <c r="C97" s="133" t="s">
        <v>288</v>
      </c>
      <c r="D97" s="144"/>
      <c r="E97" s="229"/>
      <c r="F97" s="229"/>
      <c r="G97" s="229"/>
      <c r="H97" s="229"/>
      <c r="I97" s="229"/>
      <c r="J97" s="229"/>
      <c r="K97" s="229"/>
      <c r="L97" s="229"/>
      <c r="M97" s="230"/>
    </row>
    <row r="98" spans="1:13">
      <c r="A98" s="144"/>
      <c r="B98" s="144"/>
      <c r="C98" s="139" t="s">
        <v>296</v>
      </c>
      <c r="D98" s="144"/>
      <c r="E98" s="229"/>
      <c r="F98" s="229"/>
      <c r="G98" s="229"/>
      <c r="H98" s="229"/>
      <c r="I98" s="229"/>
      <c r="J98" s="229"/>
      <c r="K98" s="229"/>
      <c r="L98" s="229"/>
      <c r="M98" s="230"/>
    </row>
    <row r="99" spans="1:13">
      <c r="A99" s="133" t="s">
        <v>527</v>
      </c>
      <c r="B99" s="133" t="s">
        <v>529</v>
      </c>
      <c r="C99" s="133" t="s">
        <v>528</v>
      </c>
      <c r="D99" s="144"/>
      <c r="E99" s="229"/>
      <c r="F99" s="229"/>
      <c r="G99" s="229"/>
      <c r="H99" s="229"/>
      <c r="I99" s="229"/>
      <c r="J99" s="229"/>
      <c r="K99" s="229"/>
      <c r="L99" s="229"/>
      <c r="M99" s="230"/>
    </row>
    <row r="100" spans="1:13">
      <c r="A100" s="133" t="s">
        <v>65</v>
      </c>
      <c r="B100" s="133" t="s">
        <v>1147</v>
      </c>
      <c r="C100" s="133" t="s">
        <v>1214</v>
      </c>
      <c r="D100" s="144"/>
      <c r="E100" s="229"/>
      <c r="F100" s="229"/>
      <c r="G100" s="229"/>
      <c r="H100" s="229"/>
      <c r="I100" s="229"/>
      <c r="J100" s="229"/>
      <c r="K100" s="229"/>
      <c r="L100" s="229"/>
      <c r="M100" s="230"/>
    </row>
    <row r="101" spans="1:13">
      <c r="A101" s="144"/>
      <c r="B101" s="144"/>
      <c r="C101" s="139" t="s">
        <v>1146</v>
      </c>
      <c r="D101" s="144"/>
      <c r="E101" s="229"/>
      <c r="F101" s="229"/>
      <c r="G101" s="229"/>
      <c r="H101" s="229"/>
      <c r="I101" s="229"/>
      <c r="J101" s="229"/>
      <c r="K101" s="229"/>
      <c r="L101" s="229"/>
      <c r="M101" s="230"/>
    </row>
    <row r="102" spans="1:13">
      <c r="A102" s="144"/>
      <c r="B102" s="133" t="s">
        <v>68</v>
      </c>
      <c r="C102" s="133" t="s">
        <v>66</v>
      </c>
      <c r="D102" s="144"/>
      <c r="E102" s="229"/>
      <c r="F102" s="229"/>
      <c r="G102" s="229"/>
      <c r="H102" s="229"/>
      <c r="I102" s="229"/>
      <c r="J102" s="229"/>
      <c r="K102" s="229"/>
      <c r="L102" s="229"/>
      <c r="M102" s="230"/>
    </row>
    <row r="103" spans="1:13">
      <c r="A103" s="133" t="s">
        <v>272</v>
      </c>
      <c r="B103" s="133" t="s">
        <v>274</v>
      </c>
      <c r="C103" s="133" t="s">
        <v>273</v>
      </c>
      <c r="D103" s="144"/>
      <c r="E103" s="229"/>
      <c r="F103" s="229"/>
      <c r="G103" s="229"/>
      <c r="H103" s="229"/>
      <c r="I103" s="229"/>
      <c r="J103" s="229"/>
      <c r="K103" s="229"/>
      <c r="L103" s="229"/>
      <c r="M103" s="230"/>
    </row>
    <row r="104" spans="1:13">
      <c r="A104" s="144"/>
      <c r="B104" s="144"/>
      <c r="C104" s="139" t="s">
        <v>282</v>
      </c>
      <c r="D104" s="144"/>
      <c r="E104" s="229"/>
      <c r="F104" s="229"/>
      <c r="G104" s="229"/>
      <c r="H104" s="229"/>
      <c r="I104" s="229"/>
      <c r="J104" s="229"/>
      <c r="K104" s="229"/>
      <c r="L104" s="229"/>
      <c r="M104" s="230"/>
    </row>
    <row r="105" spans="1:13">
      <c r="A105" s="133" t="s">
        <v>912</v>
      </c>
      <c r="B105" s="133" t="s">
        <v>914</v>
      </c>
      <c r="C105" s="133" t="s">
        <v>924</v>
      </c>
      <c r="D105" s="144"/>
      <c r="E105" s="229"/>
      <c r="F105" s="229"/>
      <c r="G105" s="229"/>
      <c r="H105" s="229"/>
      <c r="I105" s="229"/>
      <c r="J105" s="229"/>
      <c r="K105" s="229"/>
      <c r="L105" s="229"/>
      <c r="M105" s="230"/>
    </row>
    <row r="106" spans="1:13">
      <c r="A106" s="144"/>
      <c r="B106" s="144"/>
      <c r="C106" s="139" t="s">
        <v>913</v>
      </c>
      <c r="D106" s="144"/>
      <c r="E106" s="229"/>
      <c r="F106" s="229"/>
      <c r="G106" s="229"/>
      <c r="H106" s="229"/>
      <c r="I106" s="229"/>
      <c r="J106" s="229"/>
      <c r="K106" s="229"/>
      <c r="L106" s="229"/>
      <c r="M106" s="230"/>
    </row>
    <row r="107" spans="1:13">
      <c r="A107" s="133" t="s">
        <v>245</v>
      </c>
      <c r="B107" s="133" t="s">
        <v>68</v>
      </c>
      <c r="C107" s="133" t="s">
        <v>246</v>
      </c>
      <c r="D107" s="144"/>
      <c r="E107" s="229"/>
      <c r="F107" s="229"/>
      <c r="G107" s="229"/>
      <c r="H107" s="229"/>
      <c r="I107" s="229"/>
      <c r="J107" s="229"/>
      <c r="K107" s="229"/>
      <c r="L107" s="229"/>
      <c r="M107" s="230"/>
    </row>
    <row r="108" spans="1:13">
      <c r="A108" s="133" t="s">
        <v>716</v>
      </c>
      <c r="B108" s="133" t="s">
        <v>718</v>
      </c>
      <c r="C108" s="133" t="s">
        <v>717</v>
      </c>
      <c r="D108" s="144"/>
      <c r="E108" s="229"/>
      <c r="F108" s="229"/>
      <c r="G108" s="229"/>
      <c r="H108" s="229"/>
      <c r="I108" s="229"/>
      <c r="J108" s="229"/>
      <c r="K108" s="229"/>
      <c r="L108" s="229"/>
      <c r="M108" s="230"/>
    </row>
    <row r="109" spans="1:13">
      <c r="A109" s="144"/>
      <c r="B109" s="144"/>
      <c r="C109" s="139" t="s">
        <v>737</v>
      </c>
      <c r="D109" s="144"/>
      <c r="E109" s="229"/>
      <c r="F109" s="229"/>
      <c r="G109" s="229"/>
      <c r="H109" s="229"/>
      <c r="I109" s="229"/>
      <c r="J109" s="229"/>
      <c r="K109" s="229"/>
      <c r="L109" s="229"/>
      <c r="M109" s="230"/>
    </row>
    <row r="110" spans="1:13">
      <c r="A110" s="144"/>
      <c r="B110" s="144"/>
      <c r="C110" s="139" t="s">
        <v>528</v>
      </c>
      <c r="D110" s="144"/>
      <c r="E110" s="229"/>
      <c r="F110" s="229"/>
      <c r="G110" s="229"/>
      <c r="H110" s="229"/>
      <c r="I110" s="229"/>
      <c r="J110" s="229"/>
      <c r="K110" s="229"/>
      <c r="L110" s="229"/>
      <c r="M110" s="230"/>
    </row>
    <row r="111" spans="1:13">
      <c r="A111" s="133" t="s">
        <v>190</v>
      </c>
      <c r="B111" s="133" t="s">
        <v>192</v>
      </c>
      <c r="C111" s="133" t="s">
        <v>191</v>
      </c>
      <c r="D111" s="144"/>
      <c r="E111" s="229"/>
      <c r="F111" s="229"/>
      <c r="G111" s="229"/>
      <c r="H111" s="229"/>
      <c r="I111" s="229"/>
      <c r="J111" s="229"/>
      <c r="K111" s="229"/>
      <c r="L111" s="229"/>
      <c r="M111" s="230"/>
    </row>
    <row r="112" spans="1:13">
      <c r="A112" s="145"/>
      <c r="B112" s="145"/>
      <c r="C112" s="146" t="s">
        <v>202</v>
      </c>
      <c r="D112" s="145"/>
      <c r="E112" s="231"/>
      <c r="F112" s="231"/>
      <c r="G112" s="231"/>
      <c r="H112" s="231"/>
      <c r="I112" s="231"/>
      <c r="J112" s="231"/>
      <c r="K112" s="231"/>
      <c r="L112" s="231"/>
      <c r="M112" s="232"/>
    </row>
    <row r="113" spans="1:13">
      <c r="D113" s="117"/>
    </row>
    <row r="114" spans="1:13">
      <c r="D114" s="117"/>
    </row>
    <row r="115" spans="1:13">
      <c r="D115" s="117"/>
    </row>
    <row r="116" spans="1:13">
      <c r="A116" s="141" t="s">
        <v>0</v>
      </c>
      <c r="B116" s="142" t="s">
        <v>59</v>
      </c>
      <c r="D116" s="117"/>
    </row>
    <row r="117" spans="1:13">
      <c r="D117" s="117"/>
    </row>
    <row r="118" spans="1:13">
      <c r="A118" s="133"/>
      <c r="B118" s="135"/>
      <c r="C118" s="135"/>
      <c r="D118" s="134" t="s">
        <v>1</v>
      </c>
      <c r="E118" s="135"/>
      <c r="F118" s="135"/>
      <c r="G118" s="135"/>
      <c r="H118" s="135"/>
      <c r="I118" s="135"/>
      <c r="J118" s="135"/>
      <c r="K118" s="135"/>
      <c r="L118" s="135"/>
      <c r="M118" s="136"/>
    </row>
    <row r="119" spans="1:13">
      <c r="A119" s="134" t="s">
        <v>7</v>
      </c>
      <c r="B119" s="134" t="s">
        <v>10</v>
      </c>
      <c r="C119" s="134" t="s">
        <v>8</v>
      </c>
      <c r="D119" s="133" t="s">
        <v>1142</v>
      </c>
      <c r="E119" s="137" t="s">
        <v>187</v>
      </c>
      <c r="F119" s="137" t="s">
        <v>268</v>
      </c>
      <c r="G119" s="137" t="s">
        <v>371</v>
      </c>
      <c r="H119" s="137" t="s">
        <v>60</v>
      </c>
      <c r="I119" s="137" t="s">
        <v>1057</v>
      </c>
      <c r="J119" s="137" t="s">
        <v>523</v>
      </c>
      <c r="K119" s="137" t="s">
        <v>804</v>
      </c>
      <c r="L119" s="137" t="s">
        <v>958</v>
      </c>
      <c r="M119" s="138" t="s">
        <v>712</v>
      </c>
    </row>
    <row r="120" spans="1:13">
      <c r="A120" s="133" t="s">
        <v>375</v>
      </c>
      <c r="B120" s="133" t="s">
        <v>377</v>
      </c>
      <c r="C120" s="133" t="s">
        <v>376</v>
      </c>
      <c r="D120" s="133"/>
      <c r="E120" s="135"/>
      <c r="F120" s="135"/>
      <c r="G120" s="135"/>
      <c r="H120" s="135"/>
      <c r="I120" s="135"/>
      <c r="J120" s="135"/>
      <c r="K120" s="135"/>
      <c r="L120" s="135"/>
      <c r="M120" s="136"/>
    </row>
    <row r="121" spans="1:13">
      <c r="A121" s="144"/>
      <c r="B121" s="144"/>
      <c r="C121" s="139" t="s">
        <v>380</v>
      </c>
      <c r="D121" s="144"/>
      <c r="E121" s="229"/>
      <c r="F121" s="229"/>
      <c r="G121" s="229"/>
      <c r="H121" s="229"/>
      <c r="I121" s="229"/>
      <c r="J121" s="229"/>
      <c r="K121" s="229"/>
      <c r="L121" s="229"/>
      <c r="M121" s="230"/>
    </row>
    <row r="122" spans="1:13">
      <c r="A122" s="133" t="s">
        <v>1084</v>
      </c>
      <c r="B122" s="133" t="s">
        <v>1085</v>
      </c>
      <c r="C122" s="133" t="s">
        <v>288</v>
      </c>
      <c r="D122" s="144"/>
      <c r="E122" s="229"/>
      <c r="F122" s="229"/>
      <c r="G122" s="229"/>
      <c r="H122" s="229"/>
      <c r="I122" s="229"/>
      <c r="J122" s="229"/>
      <c r="K122" s="229"/>
      <c r="L122" s="229"/>
      <c r="M122" s="230"/>
    </row>
    <row r="123" spans="1:13">
      <c r="A123" s="144"/>
      <c r="B123" s="144"/>
      <c r="C123" s="139" t="s">
        <v>296</v>
      </c>
      <c r="D123" s="144"/>
      <c r="E123" s="229"/>
      <c r="F123" s="229"/>
      <c r="G123" s="229"/>
      <c r="H123" s="229"/>
      <c r="I123" s="229"/>
      <c r="J123" s="229"/>
      <c r="K123" s="229"/>
      <c r="L123" s="229"/>
      <c r="M123" s="230"/>
    </row>
    <row r="124" spans="1:13">
      <c r="A124" s="133" t="s">
        <v>1004</v>
      </c>
      <c r="B124" s="133" t="s">
        <v>1005</v>
      </c>
      <c r="C124" s="133" t="s">
        <v>288</v>
      </c>
      <c r="D124" s="144"/>
      <c r="E124" s="229"/>
      <c r="F124" s="229"/>
      <c r="G124" s="229"/>
      <c r="H124" s="229"/>
      <c r="I124" s="229"/>
      <c r="J124" s="229"/>
      <c r="K124" s="229"/>
      <c r="L124" s="229"/>
      <c r="M124" s="230"/>
    </row>
    <row r="125" spans="1:13">
      <c r="A125" s="133" t="s">
        <v>808</v>
      </c>
      <c r="B125" s="133" t="s">
        <v>809</v>
      </c>
      <c r="C125" s="133" t="s">
        <v>819</v>
      </c>
      <c r="D125" s="144"/>
      <c r="E125" s="229"/>
      <c r="F125" s="229"/>
      <c r="G125" s="229"/>
      <c r="H125" s="229"/>
      <c r="I125" s="229"/>
      <c r="J125" s="229"/>
      <c r="K125" s="229"/>
      <c r="L125" s="229"/>
      <c r="M125" s="230"/>
    </row>
    <row r="126" spans="1:13">
      <c r="A126" s="144"/>
      <c r="B126" s="144"/>
      <c r="C126" s="139" t="s">
        <v>296</v>
      </c>
      <c r="D126" s="144"/>
      <c r="E126" s="229"/>
      <c r="F126" s="229"/>
      <c r="G126" s="229"/>
      <c r="H126" s="229"/>
      <c r="I126" s="229"/>
      <c r="J126" s="229"/>
      <c r="K126" s="229"/>
      <c r="L126" s="229"/>
      <c r="M126" s="230"/>
    </row>
    <row r="127" spans="1:13">
      <c r="A127" s="133" t="s">
        <v>1061</v>
      </c>
      <c r="B127" s="133" t="s">
        <v>1062</v>
      </c>
      <c r="C127" s="133" t="s">
        <v>717</v>
      </c>
      <c r="D127" s="144"/>
      <c r="E127" s="229"/>
      <c r="F127" s="229"/>
      <c r="G127" s="229"/>
      <c r="H127" s="229"/>
      <c r="I127" s="229"/>
      <c r="J127" s="229"/>
      <c r="K127" s="229"/>
      <c r="L127" s="229"/>
      <c r="M127" s="230"/>
    </row>
    <row r="128" spans="1:13">
      <c r="A128" s="144"/>
      <c r="B128" s="144"/>
      <c r="C128" s="139" t="s">
        <v>737</v>
      </c>
      <c r="D128" s="144"/>
      <c r="E128" s="229"/>
      <c r="F128" s="229"/>
      <c r="G128" s="229"/>
      <c r="H128" s="229"/>
      <c r="I128" s="229"/>
      <c r="J128" s="229"/>
      <c r="K128" s="229"/>
      <c r="L128" s="229"/>
      <c r="M128" s="230"/>
    </row>
    <row r="129" spans="1:13">
      <c r="A129" s="133" t="s">
        <v>962</v>
      </c>
      <c r="B129" s="133" t="s">
        <v>963</v>
      </c>
      <c r="C129" s="133" t="s">
        <v>737</v>
      </c>
      <c r="D129" s="144"/>
      <c r="E129" s="229"/>
      <c r="F129" s="229"/>
      <c r="G129" s="229"/>
      <c r="H129" s="229"/>
      <c r="I129" s="229"/>
      <c r="J129" s="229"/>
      <c r="K129" s="229"/>
      <c r="L129" s="229"/>
      <c r="M129" s="230"/>
    </row>
    <row r="130" spans="1:13">
      <c r="A130" s="133" t="s">
        <v>1079</v>
      </c>
      <c r="B130" s="133" t="s">
        <v>1080</v>
      </c>
      <c r="C130" s="133" t="s">
        <v>717</v>
      </c>
      <c r="D130" s="144"/>
      <c r="E130" s="229"/>
      <c r="F130" s="229"/>
      <c r="G130" s="229"/>
      <c r="H130" s="229"/>
      <c r="I130" s="229"/>
      <c r="J130" s="229"/>
      <c r="K130" s="229"/>
      <c r="L130" s="229"/>
      <c r="M130" s="230"/>
    </row>
    <row r="131" spans="1:13">
      <c r="A131" s="144"/>
      <c r="B131" s="144"/>
      <c r="C131" s="139" t="s">
        <v>1092</v>
      </c>
      <c r="D131" s="144"/>
      <c r="E131" s="229"/>
      <c r="F131" s="229"/>
      <c r="G131" s="229"/>
      <c r="H131" s="229"/>
      <c r="I131" s="229"/>
      <c r="J131" s="229"/>
      <c r="K131" s="229"/>
      <c r="L131" s="229"/>
      <c r="M131" s="230"/>
    </row>
    <row r="132" spans="1:13">
      <c r="A132" s="133" t="s">
        <v>584</v>
      </c>
      <c r="B132" s="133" t="s">
        <v>586</v>
      </c>
      <c r="C132" s="133" t="s">
        <v>585</v>
      </c>
      <c r="D132" s="144"/>
      <c r="E132" s="229"/>
      <c r="F132" s="229"/>
      <c r="G132" s="229"/>
      <c r="H132" s="229"/>
      <c r="I132" s="229"/>
      <c r="J132" s="229"/>
      <c r="K132" s="229"/>
      <c r="L132" s="229"/>
      <c r="M132" s="230"/>
    </row>
    <row r="133" spans="1:13">
      <c r="A133" s="144"/>
      <c r="B133" s="144"/>
      <c r="C133" s="139" t="s">
        <v>589</v>
      </c>
      <c r="D133" s="144"/>
      <c r="E133" s="229"/>
      <c r="F133" s="229"/>
      <c r="G133" s="229"/>
      <c r="H133" s="229"/>
      <c r="I133" s="229"/>
      <c r="J133" s="229"/>
      <c r="K133" s="229"/>
      <c r="L133" s="229"/>
      <c r="M133" s="230"/>
    </row>
    <row r="134" spans="1:13">
      <c r="A134" s="133" t="s">
        <v>747</v>
      </c>
      <c r="B134" s="133" t="s">
        <v>749</v>
      </c>
      <c r="C134" s="133" t="s">
        <v>764</v>
      </c>
      <c r="D134" s="144"/>
      <c r="E134" s="229"/>
      <c r="F134" s="229"/>
      <c r="G134" s="229"/>
      <c r="H134" s="229"/>
      <c r="I134" s="229"/>
      <c r="J134" s="229"/>
      <c r="K134" s="229"/>
      <c r="L134" s="229"/>
      <c r="M134" s="230"/>
    </row>
    <row r="135" spans="1:13">
      <c r="A135" s="144"/>
      <c r="B135" s="144"/>
      <c r="C135" s="139" t="s">
        <v>755</v>
      </c>
      <c r="D135" s="144"/>
      <c r="E135" s="229"/>
      <c r="F135" s="229"/>
      <c r="G135" s="229"/>
      <c r="H135" s="229"/>
      <c r="I135" s="229"/>
      <c r="J135" s="229"/>
      <c r="K135" s="229"/>
      <c r="L135" s="229"/>
      <c r="M135" s="230"/>
    </row>
    <row r="136" spans="1:13">
      <c r="A136" s="144"/>
      <c r="B136" s="144"/>
      <c r="C136" s="139" t="s">
        <v>748</v>
      </c>
      <c r="D136" s="144"/>
      <c r="E136" s="229"/>
      <c r="F136" s="229"/>
      <c r="G136" s="229"/>
      <c r="H136" s="229"/>
      <c r="I136" s="229"/>
      <c r="J136" s="229"/>
      <c r="K136" s="229"/>
      <c r="L136" s="229"/>
      <c r="M136" s="230"/>
    </row>
    <row r="137" spans="1:13">
      <c r="A137" s="133" t="s">
        <v>80</v>
      </c>
      <c r="B137" s="133" t="s">
        <v>82</v>
      </c>
      <c r="C137" s="133" t="s">
        <v>96</v>
      </c>
      <c r="D137" s="144"/>
      <c r="E137" s="229"/>
      <c r="F137" s="229"/>
      <c r="G137" s="229"/>
      <c r="H137" s="229"/>
      <c r="I137" s="229"/>
      <c r="J137" s="229"/>
      <c r="K137" s="229"/>
      <c r="L137" s="229"/>
      <c r="M137" s="230"/>
    </row>
    <row r="138" spans="1:13">
      <c r="A138" s="144"/>
      <c r="B138" s="144"/>
      <c r="C138" s="139" t="s">
        <v>81</v>
      </c>
      <c r="D138" s="144"/>
      <c r="E138" s="229"/>
      <c r="F138" s="229"/>
      <c r="G138" s="229"/>
      <c r="H138" s="229"/>
      <c r="I138" s="229"/>
      <c r="J138" s="229"/>
      <c r="K138" s="229"/>
      <c r="L138" s="229"/>
      <c r="M138" s="230"/>
    </row>
    <row r="139" spans="1:13">
      <c r="A139" s="133" t="s">
        <v>229</v>
      </c>
      <c r="B139" s="133" t="s">
        <v>231</v>
      </c>
      <c r="C139" s="133" t="s">
        <v>230</v>
      </c>
      <c r="D139" s="144"/>
      <c r="E139" s="229"/>
      <c r="F139" s="229"/>
      <c r="G139" s="229"/>
      <c r="H139" s="229"/>
      <c r="I139" s="229"/>
      <c r="J139" s="229"/>
      <c r="K139" s="229"/>
      <c r="L139" s="229"/>
      <c r="M139" s="230"/>
    </row>
    <row r="140" spans="1:13">
      <c r="A140" s="144"/>
      <c r="B140" s="144"/>
      <c r="C140" s="139" t="s">
        <v>238</v>
      </c>
      <c r="D140" s="144"/>
      <c r="E140" s="229"/>
      <c r="F140" s="229"/>
      <c r="G140" s="229"/>
      <c r="H140" s="229"/>
      <c r="I140" s="229"/>
      <c r="J140" s="229"/>
      <c r="K140" s="229"/>
      <c r="L140" s="229"/>
      <c r="M140" s="230"/>
    </row>
    <row r="141" spans="1:13">
      <c r="A141" s="133" t="s">
        <v>869</v>
      </c>
      <c r="B141" s="133" t="s">
        <v>870</v>
      </c>
      <c r="C141" s="133" t="s">
        <v>823</v>
      </c>
      <c r="D141" s="144"/>
      <c r="E141" s="229"/>
      <c r="F141" s="229"/>
      <c r="G141" s="229"/>
      <c r="H141" s="229"/>
      <c r="I141" s="229"/>
      <c r="J141" s="229"/>
      <c r="K141" s="229"/>
      <c r="L141" s="229"/>
      <c r="M141" s="230"/>
    </row>
    <row r="142" spans="1:13">
      <c r="A142" s="144"/>
      <c r="B142" s="144"/>
      <c r="C142" s="139" t="s">
        <v>827</v>
      </c>
      <c r="D142" s="144"/>
      <c r="E142" s="229"/>
      <c r="F142" s="229"/>
      <c r="G142" s="229"/>
      <c r="H142" s="229"/>
      <c r="I142" s="229"/>
      <c r="J142" s="229"/>
      <c r="K142" s="229"/>
      <c r="L142" s="229"/>
      <c r="M142" s="230"/>
    </row>
    <row r="143" spans="1:13">
      <c r="A143" s="133" t="s">
        <v>822</v>
      </c>
      <c r="B143" s="133" t="s">
        <v>824</v>
      </c>
      <c r="C143" s="133" t="s">
        <v>823</v>
      </c>
      <c r="D143" s="144"/>
      <c r="E143" s="229"/>
      <c r="F143" s="229"/>
      <c r="G143" s="229"/>
      <c r="H143" s="229"/>
      <c r="I143" s="229"/>
      <c r="J143" s="229"/>
      <c r="K143" s="229"/>
      <c r="L143" s="229"/>
      <c r="M143" s="230"/>
    </row>
    <row r="144" spans="1:13">
      <c r="A144" s="144"/>
      <c r="B144" s="144"/>
      <c r="C144" s="139" t="s">
        <v>827</v>
      </c>
      <c r="D144" s="144"/>
      <c r="E144" s="229"/>
      <c r="F144" s="229"/>
      <c r="G144" s="229"/>
      <c r="H144" s="229"/>
      <c r="I144" s="229"/>
      <c r="J144" s="229"/>
      <c r="K144" s="229"/>
      <c r="L144" s="229"/>
      <c r="M144" s="230"/>
    </row>
    <row r="145" spans="1:13">
      <c r="A145" s="133" t="s">
        <v>890</v>
      </c>
      <c r="B145" s="133" t="s">
        <v>824</v>
      </c>
      <c r="C145" s="133" t="s">
        <v>891</v>
      </c>
      <c r="D145" s="144"/>
      <c r="E145" s="229"/>
      <c r="F145" s="229"/>
      <c r="G145" s="229"/>
      <c r="H145" s="229"/>
      <c r="I145" s="229"/>
      <c r="J145" s="229"/>
      <c r="K145" s="229"/>
      <c r="L145" s="229"/>
      <c r="M145" s="230"/>
    </row>
    <row r="146" spans="1:13">
      <c r="A146" s="144"/>
      <c r="B146" s="144"/>
      <c r="C146" s="139" t="s">
        <v>827</v>
      </c>
      <c r="D146" s="144"/>
      <c r="E146" s="229"/>
      <c r="F146" s="229"/>
      <c r="G146" s="229"/>
      <c r="H146" s="229"/>
      <c r="I146" s="229"/>
      <c r="J146" s="229"/>
      <c r="K146" s="229"/>
      <c r="L146" s="229"/>
      <c r="M146" s="230"/>
    </row>
    <row r="147" spans="1:13">
      <c r="A147" s="133" t="s">
        <v>1175</v>
      </c>
      <c r="B147" s="133" t="s">
        <v>1177</v>
      </c>
      <c r="C147" s="133" t="s">
        <v>1245</v>
      </c>
      <c r="D147" s="144"/>
      <c r="E147" s="229"/>
      <c r="F147" s="229"/>
      <c r="G147" s="229"/>
      <c r="H147" s="229"/>
      <c r="I147" s="229"/>
      <c r="J147" s="229"/>
      <c r="K147" s="229"/>
      <c r="L147" s="229"/>
      <c r="M147" s="230"/>
    </row>
    <row r="148" spans="1:13">
      <c r="A148" s="144"/>
      <c r="B148" s="144"/>
      <c r="C148" s="139" t="s">
        <v>1176</v>
      </c>
      <c r="D148" s="144"/>
      <c r="E148" s="229"/>
      <c r="F148" s="229"/>
      <c r="G148" s="229"/>
      <c r="H148" s="229"/>
      <c r="I148" s="229"/>
      <c r="J148" s="229"/>
      <c r="K148" s="229"/>
      <c r="L148" s="229"/>
      <c r="M148" s="230"/>
    </row>
    <row r="149" spans="1:13">
      <c r="A149" s="133" t="s">
        <v>404</v>
      </c>
      <c r="B149" s="133" t="s">
        <v>406</v>
      </c>
      <c r="C149" s="133" t="s">
        <v>405</v>
      </c>
      <c r="D149" s="144"/>
      <c r="E149" s="229"/>
      <c r="F149" s="229"/>
      <c r="G149" s="229"/>
      <c r="H149" s="229"/>
      <c r="I149" s="229"/>
      <c r="J149" s="229"/>
      <c r="K149" s="229"/>
      <c r="L149" s="229"/>
      <c r="M149" s="230"/>
    </row>
    <row r="150" spans="1:13">
      <c r="A150" s="144"/>
      <c r="B150" s="144"/>
      <c r="C150" s="139" t="s">
        <v>484</v>
      </c>
      <c r="D150" s="144"/>
      <c r="E150" s="229"/>
      <c r="F150" s="229"/>
      <c r="G150" s="229"/>
      <c r="H150" s="229"/>
      <c r="I150" s="229"/>
      <c r="J150" s="229"/>
      <c r="K150" s="229"/>
      <c r="L150" s="229"/>
      <c r="M150" s="230"/>
    </row>
    <row r="151" spans="1:13">
      <c r="A151" s="133" t="s">
        <v>390</v>
      </c>
      <c r="B151" s="133" t="s">
        <v>392</v>
      </c>
      <c r="C151" s="133" t="s">
        <v>413</v>
      </c>
      <c r="D151" s="144"/>
      <c r="E151" s="229"/>
      <c r="F151" s="229"/>
      <c r="G151" s="229"/>
      <c r="H151" s="229"/>
      <c r="I151" s="229"/>
      <c r="J151" s="229"/>
      <c r="K151" s="229"/>
      <c r="L151" s="229"/>
      <c r="M151" s="230"/>
    </row>
    <row r="152" spans="1:13">
      <c r="A152" s="144"/>
      <c r="B152" s="144"/>
      <c r="C152" s="139" t="s">
        <v>391</v>
      </c>
      <c r="D152" s="144"/>
      <c r="E152" s="229"/>
      <c r="F152" s="229"/>
      <c r="G152" s="229"/>
      <c r="H152" s="229"/>
      <c r="I152" s="229"/>
      <c r="J152" s="229"/>
      <c r="K152" s="229"/>
      <c r="L152" s="229"/>
      <c r="M152" s="230"/>
    </row>
    <row r="153" spans="1:13">
      <c r="A153" s="133" t="s">
        <v>842</v>
      </c>
      <c r="B153" s="133" t="s">
        <v>809</v>
      </c>
      <c r="C153" s="133" t="s">
        <v>819</v>
      </c>
      <c r="D153" s="144"/>
      <c r="E153" s="229"/>
      <c r="F153" s="229"/>
      <c r="G153" s="229"/>
      <c r="H153" s="229"/>
      <c r="I153" s="229"/>
      <c r="J153" s="229"/>
      <c r="K153" s="229"/>
      <c r="L153" s="229"/>
      <c r="M153" s="230"/>
    </row>
    <row r="154" spans="1:13">
      <c r="A154" s="144"/>
      <c r="B154" s="144"/>
      <c r="C154" s="139" t="s">
        <v>288</v>
      </c>
      <c r="D154" s="144"/>
      <c r="E154" s="229"/>
      <c r="F154" s="229"/>
      <c r="G154" s="229"/>
      <c r="H154" s="229"/>
      <c r="I154" s="229"/>
      <c r="J154" s="229"/>
      <c r="K154" s="229"/>
      <c r="L154" s="229"/>
      <c r="M154" s="230"/>
    </row>
    <row r="155" spans="1:13">
      <c r="A155" s="133" t="s">
        <v>287</v>
      </c>
      <c r="B155" s="133" t="s">
        <v>289</v>
      </c>
      <c r="C155" s="133" t="s">
        <v>288</v>
      </c>
      <c r="D155" s="144"/>
      <c r="E155" s="229"/>
      <c r="F155" s="229"/>
      <c r="G155" s="229"/>
      <c r="H155" s="229"/>
      <c r="I155" s="229"/>
      <c r="J155" s="229"/>
      <c r="K155" s="229"/>
      <c r="L155" s="229"/>
      <c r="M155" s="230"/>
    </row>
    <row r="156" spans="1:13">
      <c r="A156" s="144"/>
      <c r="B156" s="144"/>
      <c r="C156" s="139" t="s">
        <v>296</v>
      </c>
      <c r="D156" s="144"/>
      <c r="E156" s="229"/>
      <c r="F156" s="229"/>
      <c r="G156" s="229"/>
      <c r="H156" s="229"/>
      <c r="I156" s="229"/>
      <c r="J156" s="229"/>
      <c r="K156" s="229"/>
      <c r="L156" s="229"/>
      <c r="M156" s="230"/>
    </row>
    <row r="157" spans="1:13">
      <c r="A157" s="133" t="s">
        <v>527</v>
      </c>
      <c r="B157" s="133" t="s">
        <v>529</v>
      </c>
      <c r="C157" s="133" t="s">
        <v>528</v>
      </c>
      <c r="D157" s="144"/>
      <c r="E157" s="229"/>
      <c r="F157" s="229"/>
      <c r="G157" s="229"/>
      <c r="H157" s="229"/>
      <c r="I157" s="229"/>
      <c r="J157" s="229"/>
      <c r="K157" s="229"/>
      <c r="L157" s="229"/>
      <c r="M157" s="230"/>
    </row>
    <row r="158" spans="1:13">
      <c r="A158" s="133" t="s">
        <v>65</v>
      </c>
      <c r="B158" s="133" t="s">
        <v>1147</v>
      </c>
      <c r="C158" s="133" t="s">
        <v>1214</v>
      </c>
      <c r="D158" s="144"/>
      <c r="E158" s="229"/>
      <c r="F158" s="229"/>
      <c r="G158" s="229"/>
      <c r="H158" s="229"/>
      <c r="I158" s="229"/>
      <c r="J158" s="229"/>
      <c r="K158" s="229"/>
      <c r="L158" s="229"/>
      <c r="M158" s="230"/>
    </row>
    <row r="159" spans="1:13">
      <c r="A159" s="144"/>
      <c r="B159" s="144"/>
      <c r="C159" s="139" t="s">
        <v>1146</v>
      </c>
      <c r="D159" s="144"/>
      <c r="E159" s="229"/>
      <c r="F159" s="229"/>
      <c r="G159" s="229"/>
      <c r="H159" s="229"/>
      <c r="I159" s="229"/>
      <c r="J159" s="229"/>
      <c r="K159" s="229"/>
      <c r="L159" s="229"/>
      <c r="M159" s="230"/>
    </row>
    <row r="160" spans="1:13">
      <c r="A160" s="144"/>
      <c r="B160" s="133" t="s">
        <v>68</v>
      </c>
      <c r="C160" s="133" t="s">
        <v>66</v>
      </c>
      <c r="D160" s="144"/>
      <c r="E160" s="229"/>
      <c r="F160" s="229"/>
      <c r="G160" s="229"/>
      <c r="H160" s="229"/>
      <c r="I160" s="229"/>
      <c r="J160" s="229"/>
      <c r="K160" s="229"/>
      <c r="L160" s="229"/>
      <c r="M160" s="230"/>
    </row>
    <row r="161" spans="1:13">
      <c r="A161" s="133" t="s">
        <v>272</v>
      </c>
      <c r="B161" s="133" t="s">
        <v>274</v>
      </c>
      <c r="C161" s="133" t="s">
        <v>273</v>
      </c>
      <c r="D161" s="144"/>
      <c r="E161" s="229"/>
      <c r="F161" s="229"/>
      <c r="G161" s="229"/>
      <c r="H161" s="229"/>
      <c r="I161" s="229"/>
      <c r="J161" s="229"/>
      <c r="K161" s="229"/>
      <c r="L161" s="229"/>
      <c r="M161" s="230"/>
    </row>
    <row r="162" spans="1:13">
      <c r="A162" s="144"/>
      <c r="B162" s="144"/>
      <c r="C162" s="139" t="s">
        <v>282</v>
      </c>
      <c r="D162" s="144"/>
      <c r="E162" s="229"/>
      <c r="F162" s="229"/>
      <c r="G162" s="229"/>
      <c r="H162" s="229"/>
      <c r="I162" s="229"/>
      <c r="J162" s="229"/>
      <c r="K162" s="229"/>
      <c r="L162" s="229"/>
      <c r="M162" s="230"/>
    </row>
    <row r="163" spans="1:13">
      <c r="A163" s="133" t="s">
        <v>912</v>
      </c>
      <c r="B163" s="133" t="s">
        <v>914</v>
      </c>
      <c r="C163" s="133" t="s">
        <v>924</v>
      </c>
      <c r="D163" s="144"/>
      <c r="E163" s="229"/>
      <c r="F163" s="229"/>
      <c r="G163" s="229"/>
      <c r="H163" s="229"/>
      <c r="I163" s="229"/>
      <c r="J163" s="229"/>
      <c r="K163" s="229"/>
      <c r="L163" s="229"/>
      <c r="M163" s="230"/>
    </row>
    <row r="164" spans="1:13">
      <c r="A164" s="144"/>
      <c r="B164" s="144"/>
      <c r="C164" s="139" t="s">
        <v>913</v>
      </c>
      <c r="D164" s="144"/>
      <c r="E164" s="229"/>
      <c r="F164" s="229"/>
      <c r="G164" s="229"/>
      <c r="H164" s="229"/>
      <c r="I164" s="229"/>
      <c r="J164" s="229"/>
      <c r="K164" s="229"/>
      <c r="L164" s="229"/>
      <c r="M164" s="230"/>
    </row>
    <row r="165" spans="1:13">
      <c r="A165" s="133" t="s">
        <v>245</v>
      </c>
      <c r="B165" s="133" t="s">
        <v>68</v>
      </c>
      <c r="C165" s="133" t="s">
        <v>246</v>
      </c>
      <c r="D165" s="144"/>
      <c r="E165" s="229"/>
      <c r="F165" s="229"/>
      <c r="G165" s="229"/>
      <c r="H165" s="229"/>
      <c r="I165" s="229"/>
      <c r="J165" s="229"/>
      <c r="K165" s="229"/>
      <c r="L165" s="229"/>
      <c r="M165" s="230"/>
    </row>
    <row r="166" spans="1:13">
      <c r="A166" s="133" t="s">
        <v>716</v>
      </c>
      <c r="B166" s="133" t="s">
        <v>718</v>
      </c>
      <c r="C166" s="133" t="s">
        <v>717</v>
      </c>
      <c r="D166" s="144"/>
      <c r="E166" s="229"/>
      <c r="F166" s="229"/>
      <c r="G166" s="229"/>
      <c r="H166" s="229"/>
      <c r="I166" s="229"/>
      <c r="J166" s="229"/>
      <c r="K166" s="229"/>
      <c r="L166" s="229"/>
      <c r="M166" s="230"/>
    </row>
    <row r="167" spans="1:13">
      <c r="A167" s="144"/>
      <c r="B167" s="144"/>
      <c r="C167" s="139" t="s">
        <v>737</v>
      </c>
      <c r="D167" s="144"/>
      <c r="E167" s="229"/>
      <c r="F167" s="229"/>
      <c r="G167" s="229"/>
      <c r="H167" s="229"/>
      <c r="I167" s="229"/>
      <c r="J167" s="229"/>
      <c r="K167" s="229"/>
      <c r="L167" s="229"/>
      <c r="M167" s="230"/>
    </row>
    <row r="168" spans="1:13">
      <c r="A168" s="144"/>
      <c r="B168" s="144"/>
      <c r="C168" s="139" t="s">
        <v>528</v>
      </c>
      <c r="D168" s="144"/>
      <c r="E168" s="229"/>
      <c r="F168" s="229"/>
      <c r="G168" s="229"/>
      <c r="H168" s="229"/>
      <c r="I168" s="229"/>
      <c r="J168" s="229"/>
      <c r="K168" s="229"/>
      <c r="L168" s="229"/>
      <c r="M168" s="230"/>
    </row>
    <row r="169" spans="1:13">
      <c r="A169" s="133" t="s">
        <v>190</v>
      </c>
      <c r="B169" s="133" t="s">
        <v>192</v>
      </c>
      <c r="C169" s="133" t="s">
        <v>191</v>
      </c>
      <c r="D169" s="144"/>
      <c r="E169" s="229"/>
      <c r="F169" s="229"/>
      <c r="G169" s="229"/>
      <c r="H169" s="229"/>
      <c r="I169" s="229"/>
      <c r="J169" s="229"/>
      <c r="K169" s="229"/>
      <c r="L169" s="229"/>
      <c r="M169" s="230"/>
    </row>
    <row r="170" spans="1:13">
      <c r="A170" s="145"/>
      <c r="B170" s="145"/>
      <c r="C170" s="146" t="s">
        <v>202</v>
      </c>
      <c r="D170" s="145"/>
      <c r="E170" s="231"/>
      <c r="F170" s="231"/>
      <c r="G170" s="231"/>
      <c r="H170" s="231"/>
      <c r="I170" s="231"/>
      <c r="J170" s="231"/>
      <c r="K170" s="231"/>
      <c r="L170" s="231"/>
      <c r="M170" s="232"/>
    </row>
    <row r="171" spans="1:13">
      <c r="D171" s="117"/>
    </row>
    <row r="172" spans="1:13">
      <c r="D172" s="117"/>
    </row>
    <row r="173" spans="1:13">
      <c r="D173" s="117"/>
    </row>
    <row r="174" spans="1:13">
      <c r="A174" s="141" t="s">
        <v>0</v>
      </c>
      <c r="B174" s="142" t="s">
        <v>59</v>
      </c>
      <c r="D174" s="117"/>
    </row>
    <row r="175" spans="1:13">
      <c r="D175" s="117"/>
    </row>
    <row r="176" spans="1:13">
      <c r="A176" s="133"/>
      <c r="B176" s="135"/>
      <c r="C176" s="135"/>
      <c r="D176" s="134" t="s">
        <v>1</v>
      </c>
      <c r="E176" s="135"/>
      <c r="F176" s="135"/>
      <c r="G176" s="135"/>
      <c r="H176" s="135"/>
      <c r="I176" s="135"/>
      <c r="J176" s="135"/>
      <c r="K176" s="135"/>
      <c r="L176" s="135"/>
      <c r="M176" s="136"/>
    </row>
    <row r="177" spans="1:13">
      <c r="A177" s="134" t="s">
        <v>7</v>
      </c>
      <c r="B177" s="134" t="s">
        <v>10</v>
      </c>
      <c r="C177" s="134" t="s">
        <v>8</v>
      </c>
      <c r="D177" s="133" t="s">
        <v>1142</v>
      </c>
      <c r="E177" s="137" t="s">
        <v>187</v>
      </c>
      <c r="F177" s="137" t="s">
        <v>268</v>
      </c>
      <c r="G177" s="137" t="s">
        <v>371</v>
      </c>
      <c r="H177" s="137" t="s">
        <v>60</v>
      </c>
      <c r="I177" s="137" t="s">
        <v>1057</v>
      </c>
      <c r="J177" s="137" t="s">
        <v>523</v>
      </c>
      <c r="K177" s="137" t="s">
        <v>804</v>
      </c>
      <c r="L177" s="137" t="s">
        <v>958</v>
      </c>
      <c r="M177" s="138" t="s">
        <v>712</v>
      </c>
    </row>
    <row r="178" spans="1:13">
      <c r="A178" s="133" t="s">
        <v>375</v>
      </c>
      <c r="B178" s="133" t="s">
        <v>377</v>
      </c>
      <c r="C178" s="133" t="s">
        <v>376</v>
      </c>
      <c r="D178" s="133"/>
      <c r="E178" s="135"/>
      <c r="F178" s="135"/>
      <c r="G178" s="135"/>
      <c r="H178" s="135"/>
      <c r="I178" s="135"/>
      <c r="J178" s="135"/>
      <c r="K178" s="135"/>
      <c r="L178" s="135"/>
      <c r="M178" s="136"/>
    </row>
    <row r="179" spans="1:13">
      <c r="A179" s="144"/>
      <c r="B179" s="144"/>
      <c r="C179" s="139" t="s">
        <v>380</v>
      </c>
      <c r="D179" s="144"/>
      <c r="E179" s="229"/>
      <c r="F179" s="229"/>
      <c r="G179" s="229"/>
      <c r="H179" s="229"/>
      <c r="I179" s="229"/>
      <c r="J179" s="229"/>
      <c r="K179" s="229"/>
      <c r="L179" s="229"/>
      <c r="M179" s="230"/>
    </row>
    <row r="180" spans="1:13">
      <c r="A180" s="133" t="s">
        <v>1084</v>
      </c>
      <c r="B180" s="133" t="s">
        <v>1085</v>
      </c>
      <c r="C180" s="133" t="s">
        <v>288</v>
      </c>
      <c r="D180" s="144"/>
      <c r="E180" s="229"/>
      <c r="F180" s="229"/>
      <c r="G180" s="229"/>
      <c r="H180" s="229"/>
      <c r="I180" s="229"/>
      <c r="J180" s="229"/>
      <c r="K180" s="229"/>
      <c r="L180" s="229"/>
      <c r="M180" s="230"/>
    </row>
    <row r="181" spans="1:13">
      <c r="A181" s="144"/>
      <c r="B181" s="144"/>
      <c r="C181" s="139" t="s">
        <v>296</v>
      </c>
      <c r="D181" s="144"/>
      <c r="E181" s="229"/>
      <c r="F181" s="229"/>
      <c r="G181" s="229"/>
      <c r="H181" s="229"/>
      <c r="I181" s="229"/>
      <c r="J181" s="229"/>
      <c r="K181" s="229"/>
      <c r="L181" s="229"/>
      <c r="M181" s="230"/>
    </row>
    <row r="182" spans="1:13">
      <c r="A182" s="133" t="s">
        <v>1004</v>
      </c>
      <c r="B182" s="133" t="s">
        <v>1005</v>
      </c>
      <c r="C182" s="133" t="s">
        <v>288</v>
      </c>
      <c r="D182" s="144"/>
      <c r="E182" s="229"/>
      <c r="F182" s="229"/>
      <c r="G182" s="229"/>
      <c r="H182" s="229"/>
      <c r="I182" s="229"/>
      <c r="J182" s="229"/>
      <c r="K182" s="229"/>
      <c r="L182" s="229"/>
      <c r="M182" s="230"/>
    </row>
    <row r="183" spans="1:13">
      <c r="A183" s="133" t="s">
        <v>808</v>
      </c>
      <c r="B183" s="133" t="s">
        <v>809</v>
      </c>
      <c r="C183" s="133" t="s">
        <v>819</v>
      </c>
      <c r="D183" s="144"/>
      <c r="E183" s="229"/>
      <c r="F183" s="229"/>
      <c r="G183" s="229"/>
      <c r="H183" s="229"/>
      <c r="I183" s="229"/>
      <c r="J183" s="229"/>
      <c r="K183" s="229"/>
      <c r="L183" s="229"/>
      <c r="M183" s="230"/>
    </row>
    <row r="184" spans="1:13">
      <c r="A184" s="144"/>
      <c r="B184" s="144"/>
      <c r="C184" s="139" t="s">
        <v>296</v>
      </c>
      <c r="D184" s="144"/>
      <c r="E184" s="229"/>
      <c r="F184" s="229"/>
      <c r="G184" s="229"/>
      <c r="H184" s="229"/>
      <c r="I184" s="229"/>
      <c r="J184" s="229"/>
      <c r="K184" s="229"/>
      <c r="L184" s="229"/>
      <c r="M184" s="230"/>
    </row>
    <row r="185" spans="1:13">
      <c r="A185" s="133" t="s">
        <v>1061</v>
      </c>
      <c r="B185" s="133" t="s">
        <v>1062</v>
      </c>
      <c r="C185" s="133" t="s">
        <v>717</v>
      </c>
      <c r="D185" s="144"/>
      <c r="E185" s="229"/>
      <c r="F185" s="229"/>
      <c r="G185" s="229"/>
      <c r="H185" s="229"/>
      <c r="I185" s="229"/>
      <c r="J185" s="229"/>
      <c r="K185" s="229"/>
      <c r="L185" s="229"/>
      <c r="M185" s="230"/>
    </row>
    <row r="186" spans="1:13">
      <c r="A186" s="144"/>
      <c r="B186" s="144"/>
      <c r="C186" s="139" t="s">
        <v>737</v>
      </c>
      <c r="D186" s="144"/>
      <c r="E186" s="229"/>
      <c r="F186" s="229"/>
      <c r="G186" s="229"/>
      <c r="H186" s="229"/>
      <c r="I186" s="229"/>
      <c r="J186" s="229"/>
      <c r="K186" s="229"/>
      <c r="L186" s="229"/>
      <c r="M186" s="230"/>
    </row>
    <row r="187" spans="1:13">
      <c r="A187" s="133" t="s">
        <v>962</v>
      </c>
      <c r="B187" s="133" t="s">
        <v>963</v>
      </c>
      <c r="C187" s="133" t="s">
        <v>737</v>
      </c>
      <c r="D187" s="144"/>
      <c r="E187" s="229"/>
      <c r="F187" s="229"/>
      <c r="G187" s="229"/>
      <c r="H187" s="229"/>
      <c r="I187" s="229"/>
      <c r="J187" s="229"/>
      <c r="K187" s="229"/>
      <c r="L187" s="229"/>
      <c r="M187" s="230"/>
    </row>
    <row r="188" spans="1:13">
      <c r="A188" s="133" t="s">
        <v>1079</v>
      </c>
      <c r="B188" s="133" t="s">
        <v>1080</v>
      </c>
      <c r="C188" s="133" t="s">
        <v>717</v>
      </c>
      <c r="D188" s="144"/>
      <c r="E188" s="229"/>
      <c r="F188" s="229"/>
      <c r="G188" s="229"/>
      <c r="H188" s="229"/>
      <c r="I188" s="229"/>
      <c r="J188" s="229"/>
      <c r="K188" s="229"/>
      <c r="L188" s="229"/>
      <c r="M188" s="230"/>
    </row>
    <row r="189" spans="1:13">
      <c r="A189" s="144"/>
      <c r="B189" s="144"/>
      <c r="C189" s="139" t="s">
        <v>1092</v>
      </c>
      <c r="D189" s="144"/>
      <c r="E189" s="229"/>
      <c r="F189" s="229"/>
      <c r="G189" s="229"/>
      <c r="H189" s="229"/>
      <c r="I189" s="229"/>
      <c r="J189" s="229"/>
      <c r="K189" s="229"/>
      <c r="L189" s="229"/>
      <c r="M189" s="230"/>
    </row>
    <row r="190" spans="1:13">
      <c r="A190" s="133" t="s">
        <v>584</v>
      </c>
      <c r="B190" s="133" t="s">
        <v>586</v>
      </c>
      <c r="C190" s="133" t="s">
        <v>585</v>
      </c>
      <c r="D190" s="144"/>
      <c r="E190" s="229"/>
      <c r="F190" s="229"/>
      <c r="G190" s="229"/>
      <c r="H190" s="229"/>
      <c r="I190" s="229"/>
      <c r="J190" s="229"/>
      <c r="K190" s="229"/>
      <c r="L190" s="229"/>
      <c r="M190" s="230"/>
    </row>
    <row r="191" spans="1:13">
      <c r="A191" s="144"/>
      <c r="B191" s="144"/>
      <c r="C191" s="139" t="s">
        <v>589</v>
      </c>
      <c r="D191" s="144"/>
      <c r="E191" s="229"/>
      <c r="F191" s="229"/>
      <c r="G191" s="229"/>
      <c r="H191" s="229"/>
      <c r="I191" s="229"/>
      <c r="J191" s="229"/>
      <c r="K191" s="229"/>
      <c r="L191" s="229"/>
      <c r="M191" s="230"/>
    </row>
    <row r="192" spans="1:13">
      <c r="A192" s="133" t="s">
        <v>747</v>
      </c>
      <c r="B192" s="133" t="s">
        <v>749</v>
      </c>
      <c r="C192" s="133" t="s">
        <v>764</v>
      </c>
      <c r="D192" s="144"/>
      <c r="E192" s="229"/>
      <c r="F192" s="229"/>
      <c r="G192" s="229"/>
      <c r="H192" s="229"/>
      <c r="I192" s="229"/>
      <c r="J192" s="229"/>
      <c r="K192" s="229"/>
      <c r="L192" s="229"/>
      <c r="M192" s="230"/>
    </row>
    <row r="193" spans="1:13">
      <c r="A193" s="144"/>
      <c r="B193" s="144"/>
      <c r="C193" s="139" t="s">
        <v>755</v>
      </c>
      <c r="D193" s="144"/>
      <c r="E193" s="229"/>
      <c r="F193" s="229"/>
      <c r="G193" s="229"/>
      <c r="H193" s="229"/>
      <c r="I193" s="229"/>
      <c r="J193" s="229"/>
      <c r="K193" s="229"/>
      <c r="L193" s="229"/>
      <c r="M193" s="230"/>
    </row>
    <row r="194" spans="1:13">
      <c r="A194" s="144"/>
      <c r="B194" s="144"/>
      <c r="C194" s="139" t="s">
        <v>748</v>
      </c>
      <c r="D194" s="144"/>
      <c r="E194" s="229"/>
      <c r="F194" s="229"/>
      <c r="G194" s="229"/>
      <c r="H194" s="229"/>
      <c r="I194" s="229"/>
      <c r="J194" s="229"/>
      <c r="K194" s="229"/>
      <c r="L194" s="229"/>
      <c r="M194" s="230"/>
    </row>
    <row r="195" spans="1:13">
      <c r="A195" s="133" t="s">
        <v>80</v>
      </c>
      <c r="B195" s="133" t="s">
        <v>82</v>
      </c>
      <c r="C195" s="133" t="s">
        <v>96</v>
      </c>
      <c r="D195" s="144"/>
      <c r="E195" s="229"/>
      <c r="F195" s="229"/>
      <c r="G195" s="229"/>
      <c r="H195" s="229"/>
      <c r="I195" s="229"/>
      <c r="J195" s="229"/>
      <c r="K195" s="229"/>
      <c r="L195" s="229"/>
      <c r="M195" s="230"/>
    </row>
    <row r="196" spans="1:13">
      <c r="A196" s="144"/>
      <c r="B196" s="144"/>
      <c r="C196" s="139" t="s">
        <v>81</v>
      </c>
      <c r="D196" s="144"/>
      <c r="E196" s="229"/>
      <c r="F196" s="229"/>
      <c r="G196" s="229"/>
      <c r="H196" s="229"/>
      <c r="I196" s="229"/>
      <c r="J196" s="229"/>
      <c r="K196" s="229"/>
      <c r="L196" s="229"/>
      <c r="M196" s="230"/>
    </row>
    <row r="197" spans="1:13">
      <c r="A197" s="133" t="s">
        <v>229</v>
      </c>
      <c r="B197" s="133" t="s">
        <v>231</v>
      </c>
      <c r="C197" s="133" t="s">
        <v>230</v>
      </c>
      <c r="D197" s="144"/>
      <c r="E197" s="229"/>
      <c r="F197" s="229"/>
      <c r="G197" s="229"/>
      <c r="H197" s="229"/>
      <c r="I197" s="229"/>
      <c r="J197" s="229"/>
      <c r="K197" s="229"/>
      <c r="L197" s="229"/>
      <c r="M197" s="230"/>
    </row>
    <row r="198" spans="1:13">
      <c r="A198" s="144"/>
      <c r="B198" s="144"/>
      <c r="C198" s="139" t="s">
        <v>238</v>
      </c>
      <c r="D198" s="144"/>
      <c r="E198" s="229"/>
      <c r="F198" s="229"/>
      <c r="G198" s="229"/>
      <c r="H198" s="229"/>
      <c r="I198" s="229"/>
      <c r="J198" s="229"/>
      <c r="K198" s="229"/>
      <c r="L198" s="229"/>
      <c r="M198" s="230"/>
    </row>
    <row r="199" spans="1:13">
      <c r="A199" s="133" t="s">
        <v>869</v>
      </c>
      <c r="B199" s="133" t="s">
        <v>870</v>
      </c>
      <c r="C199" s="133" t="s">
        <v>823</v>
      </c>
      <c r="D199" s="144"/>
      <c r="E199" s="229"/>
      <c r="F199" s="229"/>
      <c r="G199" s="229"/>
      <c r="H199" s="229"/>
      <c r="I199" s="229"/>
      <c r="J199" s="229"/>
      <c r="K199" s="229"/>
      <c r="L199" s="229"/>
      <c r="M199" s="230"/>
    </row>
    <row r="200" spans="1:13">
      <c r="A200" s="144"/>
      <c r="B200" s="144"/>
      <c r="C200" s="139" t="s">
        <v>827</v>
      </c>
      <c r="D200" s="144"/>
      <c r="E200" s="229"/>
      <c r="F200" s="229"/>
      <c r="G200" s="229"/>
      <c r="H200" s="229"/>
      <c r="I200" s="229"/>
      <c r="J200" s="229"/>
      <c r="K200" s="229"/>
      <c r="L200" s="229"/>
      <c r="M200" s="230"/>
    </row>
    <row r="201" spans="1:13">
      <c r="A201" s="133" t="s">
        <v>822</v>
      </c>
      <c r="B201" s="133" t="s">
        <v>824</v>
      </c>
      <c r="C201" s="133" t="s">
        <v>823</v>
      </c>
      <c r="D201" s="144"/>
      <c r="E201" s="229"/>
      <c r="F201" s="229"/>
      <c r="G201" s="229"/>
      <c r="H201" s="229"/>
      <c r="I201" s="229"/>
      <c r="J201" s="229"/>
      <c r="K201" s="229"/>
      <c r="L201" s="229"/>
      <c r="M201" s="230"/>
    </row>
    <row r="202" spans="1:13">
      <c r="A202" s="144"/>
      <c r="B202" s="144"/>
      <c r="C202" s="139" t="s">
        <v>827</v>
      </c>
      <c r="D202" s="144"/>
      <c r="E202" s="229"/>
      <c r="F202" s="229"/>
      <c r="G202" s="229"/>
      <c r="H202" s="229"/>
      <c r="I202" s="229"/>
      <c r="J202" s="229"/>
      <c r="K202" s="229"/>
      <c r="L202" s="229"/>
      <c r="M202" s="230"/>
    </row>
    <row r="203" spans="1:13">
      <c r="A203" s="133" t="s">
        <v>890</v>
      </c>
      <c r="B203" s="133" t="s">
        <v>824</v>
      </c>
      <c r="C203" s="133" t="s">
        <v>891</v>
      </c>
      <c r="D203" s="144"/>
      <c r="E203" s="229"/>
      <c r="F203" s="229"/>
      <c r="G203" s="229"/>
      <c r="H203" s="229"/>
      <c r="I203" s="229"/>
      <c r="J203" s="229"/>
      <c r="K203" s="229"/>
      <c r="L203" s="229"/>
      <c r="M203" s="230"/>
    </row>
    <row r="204" spans="1:13">
      <c r="A204" s="144"/>
      <c r="B204" s="144"/>
      <c r="C204" s="139" t="s">
        <v>827</v>
      </c>
      <c r="D204" s="144"/>
      <c r="E204" s="229"/>
      <c r="F204" s="229"/>
      <c r="G204" s="229"/>
      <c r="H204" s="229"/>
      <c r="I204" s="229"/>
      <c r="J204" s="229"/>
      <c r="K204" s="229"/>
      <c r="L204" s="229"/>
      <c r="M204" s="230"/>
    </row>
    <row r="205" spans="1:13">
      <c r="A205" s="133" t="s">
        <v>1175</v>
      </c>
      <c r="B205" s="133" t="s">
        <v>1177</v>
      </c>
      <c r="C205" s="133" t="s">
        <v>1245</v>
      </c>
      <c r="D205" s="144"/>
      <c r="E205" s="229"/>
      <c r="F205" s="229"/>
      <c r="G205" s="229"/>
      <c r="H205" s="229"/>
      <c r="I205" s="229"/>
      <c r="J205" s="229"/>
      <c r="K205" s="229"/>
      <c r="L205" s="229"/>
      <c r="M205" s="230"/>
    </row>
    <row r="206" spans="1:13">
      <c r="A206" s="144"/>
      <c r="B206" s="144"/>
      <c r="C206" s="139" t="s">
        <v>1176</v>
      </c>
      <c r="D206" s="144"/>
      <c r="E206" s="229"/>
      <c r="F206" s="229"/>
      <c r="G206" s="229"/>
      <c r="H206" s="229"/>
      <c r="I206" s="229"/>
      <c r="J206" s="229"/>
      <c r="K206" s="229"/>
      <c r="L206" s="229"/>
      <c r="M206" s="230"/>
    </row>
    <row r="207" spans="1:13">
      <c r="A207" s="133" t="s">
        <v>404</v>
      </c>
      <c r="B207" s="133" t="s">
        <v>406</v>
      </c>
      <c r="C207" s="133" t="s">
        <v>405</v>
      </c>
      <c r="D207" s="144"/>
      <c r="E207" s="229"/>
      <c r="F207" s="229"/>
      <c r="G207" s="229"/>
      <c r="H207" s="229"/>
      <c r="I207" s="229"/>
      <c r="J207" s="229"/>
      <c r="K207" s="229"/>
      <c r="L207" s="229"/>
      <c r="M207" s="230"/>
    </row>
    <row r="208" spans="1:13">
      <c r="A208" s="144"/>
      <c r="B208" s="144"/>
      <c r="C208" s="139" t="s">
        <v>484</v>
      </c>
      <c r="D208" s="144"/>
      <c r="E208" s="229"/>
      <c r="F208" s="229"/>
      <c r="G208" s="229"/>
      <c r="H208" s="229"/>
      <c r="I208" s="229"/>
      <c r="J208" s="229"/>
      <c r="K208" s="229"/>
      <c r="L208" s="229"/>
      <c r="M208" s="230"/>
    </row>
    <row r="209" spans="1:13">
      <c r="A209" s="133" t="s">
        <v>390</v>
      </c>
      <c r="B209" s="133" t="s">
        <v>392</v>
      </c>
      <c r="C209" s="133" t="s">
        <v>413</v>
      </c>
      <c r="D209" s="144"/>
      <c r="E209" s="229"/>
      <c r="F209" s="229"/>
      <c r="G209" s="229"/>
      <c r="H209" s="229"/>
      <c r="I209" s="229"/>
      <c r="J209" s="229"/>
      <c r="K209" s="229"/>
      <c r="L209" s="229"/>
      <c r="M209" s="230"/>
    </row>
    <row r="210" spans="1:13">
      <c r="A210" s="144"/>
      <c r="B210" s="144"/>
      <c r="C210" s="139" t="s">
        <v>391</v>
      </c>
      <c r="D210" s="144"/>
      <c r="E210" s="229"/>
      <c r="F210" s="229"/>
      <c r="G210" s="229"/>
      <c r="H210" s="229"/>
      <c r="I210" s="229"/>
      <c r="J210" s="229"/>
      <c r="K210" s="229"/>
      <c r="L210" s="229"/>
      <c r="M210" s="230"/>
    </row>
    <row r="211" spans="1:13">
      <c r="A211" s="133" t="s">
        <v>842</v>
      </c>
      <c r="B211" s="133" t="s">
        <v>809</v>
      </c>
      <c r="C211" s="133" t="s">
        <v>819</v>
      </c>
      <c r="D211" s="144"/>
      <c r="E211" s="229"/>
      <c r="F211" s="229"/>
      <c r="G211" s="229"/>
      <c r="H211" s="229"/>
      <c r="I211" s="229"/>
      <c r="J211" s="229"/>
      <c r="K211" s="229"/>
      <c r="L211" s="229"/>
      <c r="M211" s="230"/>
    </row>
    <row r="212" spans="1:13">
      <c r="A212" s="144"/>
      <c r="B212" s="144"/>
      <c r="C212" s="139" t="s">
        <v>288</v>
      </c>
      <c r="D212" s="144"/>
      <c r="E212" s="229"/>
      <c r="F212" s="229"/>
      <c r="G212" s="229"/>
      <c r="H212" s="229"/>
      <c r="I212" s="229"/>
      <c r="J212" s="229"/>
      <c r="K212" s="229"/>
      <c r="L212" s="229"/>
      <c r="M212" s="230"/>
    </row>
    <row r="213" spans="1:13">
      <c r="A213" s="133" t="s">
        <v>287</v>
      </c>
      <c r="B213" s="133" t="s">
        <v>289</v>
      </c>
      <c r="C213" s="133" t="s">
        <v>288</v>
      </c>
      <c r="D213" s="144"/>
      <c r="E213" s="229"/>
      <c r="F213" s="229"/>
      <c r="G213" s="229"/>
      <c r="H213" s="229"/>
      <c r="I213" s="229"/>
      <c r="J213" s="229"/>
      <c r="K213" s="229"/>
      <c r="L213" s="229"/>
      <c r="M213" s="230"/>
    </row>
    <row r="214" spans="1:13">
      <c r="A214" s="144"/>
      <c r="B214" s="144"/>
      <c r="C214" s="139" t="s">
        <v>296</v>
      </c>
      <c r="D214" s="144"/>
      <c r="E214" s="229"/>
      <c r="F214" s="229"/>
      <c r="G214" s="229"/>
      <c r="H214" s="229"/>
      <c r="I214" s="229"/>
      <c r="J214" s="229"/>
      <c r="K214" s="229"/>
      <c r="L214" s="229"/>
      <c r="M214" s="230"/>
    </row>
    <row r="215" spans="1:13">
      <c r="A215" s="133" t="s">
        <v>527</v>
      </c>
      <c r="B215" s="133" t="s">
        <v>529</v>
      </c>
      <c r="C215" s="133" t="s">
        <v>528</v>
      </c>
      <c r="D215" s="144"/>
      <c r="E215" s="229"/>
      <c r="F215" s="229"/>
      <c r="G215" s="229"/>
      <c r="H215" s="229"/>
      <c r="I215" s="229"/>
      <c r="J215" s="229"/>
      <c r="K215" s="229"/>
      <c r="L215" s="229"/>
      <c r="M215" s="230"/>
    </row>
    <row r="216" spans="1:13">
      <c r="A216" s="133" t="s">
        <v>65</v>
      </c>
      <c r="B216" s="133" t="s">
        <v>1147</v>
      </c>
      <c r="C216" s="133" t="s">
        <v>1214</v>
      </c>
      <c r="D216" s="144"/>
      <c r="E216" s="229"/>
      <c r="F216" s="229"/>
      <c r="G216" s="229"/>
      <c r="H216" s="229"/>
      <c r="I216" s="229"/>
      <c r="J216" s="229"/>
      <c r="K216" s="229"/>
      <c r="L216" s="229"/>
      <c r="M216" s="230"/>
    </row>
    <row r="217" spans="1:13">
      <c r="A217" s="144"/>
      <c r="B217" s="144"/>
      <c r="C217" s="139" t="s">
        <v>1146</v>
      </c>
      <c r="D217" s="144"/>
      <c r="E217" s="229"/>
      <c r="F217" s="229"/>
      <c r="G217" s="229"/>
      <c r="H217" s="229"/>
      <c r="I217" s="229"/>
      <c r="J217" s="229"/>
      <c r="K217" s="229"/>
      <c r="L217" s="229"/>
      <c r="M217" s="230"/>
    </row>
    <row r="218" spans="1:13">
      <c r="A218" s="144"/>
      <c r="B218" s="133" t="s">
        <v>68</v>
      </c>
      <c r="C218" s="133" t="s">
        <v>66</v>
      </c>
      <c r="D218" s="144"/>
      <c r="E218" s="229"/>
      <c r="F218" s="229"/>
      <c r="G218" s="229"/>
      <c r="H218" s="229"/>
      <c r="I218" s="229"/>
      <c r="J218" s="229"/>
      <c r="K218" s="229"/>
      <c r="L218" s="229"/>
      <c r="M218" s="230"/>
    </row>
    <row r="219" spans="1:13">
      <c r="A219" s="133" t="s">
        <v>272</v>
      </c>
      <c r="B219" s="133" t="s">
        <v>274</v>
      </c>
      <c r="C219" s="133" t="s">
        <v>273</v>
      </c>
      <c r="D219" s="144"/>
      <c r="E219" s="229"/>
      <c r="F219" s="229"/>
      <c r="G219" s="229"/>
      <c r="H219" s="229"/>
      <c r="I219" s="229"/>
      <c r="J219" s="229"/>
      <c r="K219" s="229"/>
      <c r="L219" s="229"/>
      <c r="M219" s="230"/>
    </row>
    <row r="220" spans="1:13">
      <c r="A220" s="144"/>
      <c r="B220" s="144"/>
      <c r="C220" s="139" t="s">
        <v>282</v>
      </c>
      <c r="D220" s="144"/>
      <c r="E220" s="229"/>
      <c r="F220" s="229"/>
      <c r="G220" s="229"/>
      <c r="H220" s="229"/>
      <c r="I220" s="229"/>
      <c r="J220" s="229"/>
      <c r="K220" s="229"/>
      <c r="L220" s="229"/>
      <c r="M220" s="230"/>
    </row>
    <row r="221" spans="1:13">
      <c r="A221" s="133" t="s">
        <v>912</v>
      </c>
      <c r="B221" s="133" t="s">
        <v>914</v>
      </c>
      <c r="C221" s="133" t="s">
        <v>924</v>
      </c>
      <c r="D221" s="144"/>
      <c r="E221" s="229"/>
      <c r="F221" s="229"/>
      <c r="G221" s="229"/>
      <c r="H221" s="229"/>
      <c r="I221" s="229"/>
      <c r="J221" s="229"/>
      <c r="K221" s="229"/>
      <c r="L221" s="229"/>
      <c r="M221" s="230"/>
    </row>
    <row r="222" spans="1:13">
      <c r="A222" s="144"/>
      <c r="B222" s="144"/>
      <c r="C222" s="139" t="s">
        <v>913</v>
      </c>
      <c r="D222" s="144"/>
      <c r="E222" s="229"/>
      <c r="F222" s="229"/>
      <c r="G222" s="229"/>
      <c r="H222" s="229"/>
      <c r="I222" s="229"/>
      <c r="J222" s="229"/>
      <c r="K222" s="229"/>
      <c r="L222" s="229"/>
      <c r="M222" s="230"/>
    </row>
    <row r="223" spans="1:13">
      <c r="A223" s="133" t="s">
        <v>245</v>
      </c>
      <c r="B223" s="133" t="s">
        <v>68</v>
      </c>
      <c r="C223" s="133" t="s">
        <v>246</v>
      </c>
      <c r="D223" s="144"/>
      <c r="E223" s="229"/>
      <c r="F223" s="229"/>
      <c r="G223" s="229"/>
      <c r="H223" s="229"/>
      <c r="I223" s="229"/>
      <c r="J223" s="229"/>
      <c r="K223" s="229"/>
      <c r="L223" s="229"/>
      <c r="M223" s="230"/>
    </row>
    <row r="224" spans="1:13">
      <c r="A224" s="133" t="s">
        <v>716</v>
      </c>
      <c r="B224" s="133" t="s">
        <v>718</v>
      </c>
      <c r="C224" s="133" t="s">
        <v>717</v>
      </c>
      <c r="D224" s="144"/>
      <c r="E224" s="229"/>
      <c r="F224" s="229"/>
      <c r="G224" s="229"/>
      <c r="H224" s="229"/>
      <c r="I224" s="229"/>
      <c r="J224" s="229"/>
      <c r="K224" s="229"/>
      <c r="L224" s="229"/>
      <c r="M224" s="230"/>
    </row>
    <row r="225" spans="1:13">
      <c r="A225" s="144"/>
      <c r="B225" s="144"/>
      <c r="C225" s="139" t="s">
        <v>737</v>
      </c>
      <c r="D225" s="144"/>
      <c r="E225" s="229"/>
      <c r="F225" s="229"/>
      <c r="G225" s="229"/>
      <c r="H225" s="229"/>
      <c r="I225" s="229"/>
      <c r="J225" s="229"/>
      <c r="K225" s="229"/>
      <c r="L225" s="229"/>
      <c r="M225" s="230"/>
    </row>
    <row r="226" spans="1:13">
      <c r="A226" s="144"/>
      <c r="B226" s="144"/>
      <c r="C226" s="139" t="s">
        <v>528</v>
      </c>
      <c r="D226" s="144"/>
      <c r="E226" s="229"/>
      <c r="F226" s="229"/>
      <c r="G226" s="229"/>
      <c r="H226" s="229"/>
      <c r="I226" s="229"/>
      <c r="J226" s="229"/>
      <c r="K226" s="229"/>
      <c r="L226" s="229"/>
      <c r="M226" s="230"/>
    </row>
    <row r="227" spans="1:13">
      <c r="A227" s="133" t="s">
        <v>190</v>
      </c>
      <c r="B227" s="133" t="s">
        <v>192</v>
      </c>
      <c r="C227" s="133" t="s">
        <v>191</v>
      </c>
      <c r="D227" s="144"/>
      <c r="E227" s="229"/>
      <c r="F227" s="229"/>
      <c r="G227" s="229"/>
      <c r="H227" s="229"/>
      <c r="I227" s="229"/>
      <c r="J227" s="229"/>
      <c r="K227" s="229"/>
      <c r="L227" s="229"/>
      <c r="M227" s="230"/>
    </row>
    <row r="228" spans="1:13">
      <c r="A228" s="145"/>
      <c r="B228" s="145"/>
      <c r="C228" s="146" t="s">
        <v>202</v>
      </c>
      <c r="D228" s="145"/>
      <c r="E228" s="231"/>
      <c r="F228" s="231"/>
      <c r="G228" s="231"/>
      <c r="H228" s="231"/>
      <c r="I228" s="231"/>
      <c r="J228" s="231"/>
      <c r="K228" s="231"/>
      <c r="L228" s="231"/>
      <c r="M228" s="232"/>
    </row>
    <row r="229" spans="1:13">
      <c r="D229" s="117"/>
    </row>
    <row r="230" spans="1:13">
      <c r="D230" s="117"/>
    </row>
    <row r="231" spans="1:13">
      <c r="D231" s="117"/>
    </row>
    <row r="232" spans="1:13">
      <c r="D232" s="117"/>
    </row>
    <row r="233" spans="1:13">
      <c r="D233" s="117"/>
    </row>
    <row r="234" spans="1:13">
      <c r="D234" s="117"/>
    </row>
    <row r="235" spans="1:13">
      <c r="D235" s="117"/>
    </row>
    <row r="236" spans="1:13">
      <c r="D236" s="117"/>
    </row>
    <row r="237" spans="1:13">
      <c r="D237" s="117"/>
    </row>
    <row r="238" spans="1:13">
      <c r="D238" s="117"/>
    </row>
    <row r="239" spans="1:13">
      <c r="D239" s="117"/>
    </row>
    <row r="240" spans="1:13">
      <c r="D240" s="117"/>
    </row>
    <row r="241" spans="4:4">
      <c r="D241" s="117"/>
    </row>
    <row r="242" spans="4:4">
      <c r="D242" s="117"/>
    </row>
    <row r="243" spans="4:4">
      <c r="D243" s="117"/>
    </row>
    <row r="244" spans="4:4">
      <c r="D244" s="117"/>
    </row>
    <row r="245" spans="4:4">
      <c r="D245" s="117"/>
    </row>
    <row r="246" spans="4:4">
      <c r="D246" s="117"/>
    </row>
    <row r="247" spans="4:4">
      <c r="D247" s="117"/>
    </row>
    <row r="248" spans="4:4">
      <c r="D248" s="117"/>
    </row>
    <row r="249" spans="4:4">
      <c r="D249" s="117"/>
    </row>
    <row r="250" spans="4:4">
      <c r="D250" s="117"/>
    </row>
    <row r="251" spans="4:4">
      <c r="D251" s="117"/>
    </row>
    <row r="252" spans="4:4">
      <c r="D252" s="117"/>
    </row>
    <row r="253" spans="4:4">
      <c r="D253" s="117"/>
    </row>
    <row r="254" spans="4:4">
      <c r="D254" s="117"/>
    </row>
    <row r="255" spans="4:4">
      <c r="D255" s="117"/>
    </row>
    <row r="256" spans="4:4">
      <c r="D256" s="117"/>
    </row>
    <row r="257" spans="4:4">
      <c r="D257" s="117"/>
    </row>
    <row r="258" spans="4:4">
      <c r="D258" s="117"/>
    </row>
    <row r="259" spans="4:4">
      <c r="D259" s="117"/>
    </row>
    <row r="260" spans="4:4">
      <c r="D260" s="117"/>
    </row>
    <row r="261" spans="4:4">
      <c r="D261" s="117"/>
    </row>
    <row r="262" spans="4:4">
      <c r="D262" s="117"/>
    </row>
    <row r="263" spans="4:4">
      <c r="D263" s="117"/>
    </row>
    <row r="264" spans="4:4">
      <c r="D264" s="117"/>
    </row>
    <row r="265" spans="4:4">
      <c r="D265" s="117"/>
    </row>
    <row r="266" spans="4:4">
      <c r="D266" s="117"/>
    </row>
    <row r="267" spans="4:4">
      <c r="D267" s="117"/>
    </row>
    <row r="268" spans="4:4">
      <c r="D268" s="117"/>
    </row>
    <row r="269" spans="4:4">
      <c r="D269" s="117"/>
    </row>
    <row r="270" spans="4:4">
      <c r="D270" s="117"/>
    </row>
    <row r="271" spans="4:4">
      <c r="D271" s="117"/>
    </row>
    <row r="272" spans="4:4">
      <c r="D272" s="117"/>
    </row>
    <row r="273" spans="4:4">
      <c r="D273" s="117"/>
    </row>
    <row r="274" spans="4:4">
      <c r="D274" s="117"/>
    </row>
    <row r="275" spans="4:4">
      <c r="D275" s="117"/>
    </row>
    <row r="276" spans="4:4">
      <c r="D276" s="117"/>
    </row>
    <row r="277" spans="4:4">
      <c r="D277" s="117"/>
    </row>
    <row r="278" spans="4:4">
      <c r="D278" s="117"/>
    </row>
    <row r="279" spans="4:4">
      <c r="D279" s="117"/>
    </row>
    <row r="280" spans="4:4">
      <c r="D280" s="117"/>
    </row>
    <row r="281" spans="4:4">
      <c r="D281" s="117"/>
    </row>
    <row r="282" spans="4:4">
      <c r="D282" s="117"/>
    </row>
    <row r="283" spans="4:4">
      <c r="D283" s="117"/>
    </row>
    <row r="284" spans="4:4">
      <c r="D284" s="117"/>
    </row>
    <row r="285" spans="4:4">
      <c r="D285" s="117"/>
    </row>
    <row r="286" spans="4:4">
      <c r="D286" s="117"/>
    </row>
    <row r="287" spans="4:4">
      <c r="D287" s="117"/>
    </row>
    <row r="288" spans="4:4">
      <c r="D288" s="117"/>
    </row>
    <row r="289" spans="4:4">
      <c r="D289" s="117"/>
    </row>
    <row r="290" spans="4:4">
      <c r="D290" s="117"/>
    </row>
    <row r="291" spans="4:4">
      <c r="D291" s="117"/>
    </row>
    <row r="292" spans="4:4">
      <c r="D292" s="117"/>
    </row>
    <row r="293" spans="4:4">
      <c r="D293" s="117"/>
    </row>
    <row r="294" spans="4:4">
      <c r="D294" s="117"/>
    </row>
    <row r="295" spans="4:4">
      <c r="D295" s="117"/>
    </row>
    <row r="296" spans="4:4">
      <c r="D296" s="117"/>
    </row>
    <row r="297" spans="4:4">
      <c r="D297" s="117"/>
    </row>
    <row r="298" spans="4:4">
      <c r="D298" s="117"/>
    </row>
    <row r="299" spans="4:4">
      <c r="D299" s="117"/>
    </row>
    <row r="300" spans="4:4">
      <c r="D300" s="117"/>
    </row>
    <row r="301" spans="4:4">
      <c r="D301" s="117"/>
    </row>
    <row r="302" spans="4:4">
      <c r="D302" s="117"/>
    </row>
    <row r="303" spans="4:4">
      <c r="D303" s="117"/>
    </row>
    <row r="304" spans="4:4">
      <c r="D304" s="117"/>
    </row>
    <row r="305" spans="4:4">
      <c r="D305" s="117"/>
    </row>
    <row r="306" spans="4:4">
      <c r="D306" s="117"/>
    </row>
    <row r="307" spans="4:4">
      <c r="D307" s="117"/>
    </row>
    <row r="308" spans="4:4">
      <c r="D308" s="117"/>
    </row>
    <row r="309" spans="4:4">
      <c r="D309" s="117"/>
    </row>
    <row r="310" spans="4:4">
      <c r="D310" s="117"/>
    </row>
    <row r="311" spans="4:4">
      <c r="D311" s="117"/>
    </row>
    <row r="312" spans="4:4">
      <c r="D312" s="117"/>
    </row>
    <row r="313" spans="4:4">
      <c r="D313" s="117"/>
    </row>
    <row r="314" spans="4:4">
      <c r="D314" s="117"/>
    </row>
    <row r="315" spans="4:4">
      <c r="D315" s="117"/>
    </row>
    <row r="316" spans="4:4">
      <c r="D316" s="117"/>
    </row>
    <row r="317" spans="4:4">
      <c r="D317" s="117"/>
    </row>
    <row r="318" spans="4:4">
      <c r="D318" s="117"/>
    </row>
    <row r="319" spans="4:4">
      <c r="D319" s="117"/>
    </row>
    <row r="320" spans="4:4">
      <c r="D320" s="117"/>
    </row>
    <row r="321" spans="4:4">
      <c r="D321" s="117"/>
    </row>
    <row r="322" spans="4:4">
      <c r="D322" s="117"/>
    </row>
    <row r="323" spans="4:4">
      <c r="D323" s="117"/>
    </row>
    <row r="324" spans="4:4">
      <c r="D324" s="117"/>
    </row>
    <row r="325" spans="4:4">
      <c r="D325" s="117"/>
    </row>
    <row r="326" spans="4:4">
      <c r="D326" s="117"/>
    </row>
    <row r="327" spans="4:4">
      <c r="D327" s="117"/>
    </row>
    <row r="328" spans="4:4">
      <c r="D328" s="117"/>
    </row>
    <row r="329" spans="4:4">
      <c r="D329" s="117"/>
    </row>
    <row r="330" spans="4:4">
      <c r="D330" s="117"/>
    </row>
    <row r="331" spans="4:4">
      <c r="D331" s="117"/>
    </row>
    <row r="332" spans="4:4">
      <c r="D332" s="117"/>
    </row>
    <row r="333" spans="4:4">
      <c r="D333" s="117"/>
    </row>
    <row r="334" spans="4:4">
      <c r="D334" s="117"/>
    </row>
    <row r="335" spans="4:4">
      <c r="D335" s="117"/>
    </row>
    <row r="336" spans="4:4">
      <c r="D336" s="117"/>
    </row>
    <row r="337" spans="4:4">
      <c r="D337" s="117"/>
    </row>
    <row r="338" spans="4:4">
      <c r="D338" s="117"/>
    </row>
    <row r="339" spans="4:4">
      <c r="D339" s="117"/>
    </row>
    <row r="340" spans="4:4">
      <c r="D340" s="117"/>
    </row>
    <row r="341" spans="4:4">
      <c r="D341" s="117"/>
    </row>
    <row r="342" spans="4:4">
      <c r="D342" s="117"/>
    </row>
    <row r="343" spans="4:4">
      <c r="D343" s="117"/>
    </row>
    <row r="344" spans="4:4">
      <c r="D344" s="117"/>
    </row>
    <row r="345" spans="4:4">
      <c r="D345" s="117"/>
    </row>
    <row r="346" spans="4:4">
      <c r="D346" s="117"/>
    </row>
    <row r="347" spans="4:4">
      <c r="D347" s="117"/>
    </row>
    <row r="348" spans="4:4">
      <c r="D348" s="117"/>
    </row>
    <row r="349" spans="4:4">
      <c r="D349" s="117"/>
    </row>
    <row r="350" spans="4:4">
      <c r="D350" s="117"/>
    </row>
    <row r="351" spans="4:4">
      <c r="D351" s="117"/>
    </row>
    <row r="352" spans="4:4">
      <c r="D352" s="117"/>
    </row>
    <row r="353" spans="4:4">
      <c r="D353" s="117"/>
    </row>
    <row r="354" spans="4:4">
      <c r="D354" s="117"/>
    </row>
    <row r="355" spans="4:4">
      <c r="D355" s="117"/>
    </row>
    <row r="356" spans="4:4">
      <c r="D356" s="117"/>
    </row>
    <row r="357" spans="4:4">
      <c r="D357" s="117"/>
    </row>
    <row r="358" spans="4:4">
      <c r="D358" s="117"/>
    </row>
    <row r="359" spans="4:4">
      <c r="D359" s="117"/>
    </row>
    <row r="360" spans="4:4">
      <c r="D360" s="117"/>
    </row>
    <row r="361" spans="4:4">
      <c r="D361" s="117"/>
    </row>
    <row r="362" spans="4:4">
      <c r="D362" s="117"/>
    </row>
    <row r="363" spans="4:4">
      <c r="D363" s="117"/>
    </row>
    <row r="364" spans="4:4">
      <c r="D364" s="117"/>
    </row>
    <row r="365" spans="4:4">
      <c r="D365" s="117"/>
    </row>
    <row r="366" spans="4:4">
      <c r="D366" s="117"/>
    </row>
    <row r="367" spans="4:4">
      <c r="D367" s="117"/>
    </row>
    <row r="368" spans="4:4">
      <c r="D368" s="117"/>
    </row>
    <row r="369" spans="4:4">
      <c r="D369" s="117"/>
    </row>
    <row r="370" spans="4:4">
      <c r="D370" s="117"/>
    </row>
    <row r="371" spans="4:4">
      <c r="D371" s="117"/>
    </row>
    <row r="372" spans="4:4">
      <c r="D372" s="117"/>
    </row>
    <row r="373" spans="4:4">
      <c r="D373" s="117"/>
    </row>
    <row r="374" spans="4:4">
      <c r="D374" s="117"/>
    </row>
    <row r="375" spans="4:4">
      <c r="D375" s="117"/>
    </row>
    <row r="376" spans="4:4">
      <c r="D376" s="117"/>
    </row>
    <row r="377" spans="4:4">
      <c r="D377" s="117"/>
    </row>
    <row r="378" spans="4:4">
      <c r="D378" s="117"/>
    </row>
    <row r="379" spans="4:4">
      <c r="D379" s="117"/>
    </row>
    <row r="380" spans="4:4">
      <c r="D380" s="117"/>
    </row>
    <row r="381" spans="4:4">
      <c r="D381" s="117"/>
    </row>
    <row r="382" spans="4:4">
      <c r="D382" s="117"/>
    </row>
    <row r="383" spans="4:4">
      <c r="D383" s="117"/>
    </row>
    <row r="384" spans="4:4">
      <c r="D384" s="117"/>
    </row>
    <row r="385" spans="4:4">
      <c r="D385" s="117"/>
    </row>
    <row r="386" spans="4:4">
      <c r="D386" s="117"/>
    </row>
    <row r="387" spans="4:4">
      <c r="D387" s="117"/>
    </row>
    <row r="388" spans="4:4">
      <c r="D388" s="117"/>
    </row>
    <row r="389" spans="4:4">
      <c r="D389" s="117"/>
    </row>
    <row r="390" spans="4:4">
      <c r="D390" s="117"/>
    </row>
    <row r="391" spans="4:4">
      <c r="D391" s="117"/>
    </row>
    <row r="392" spans="4:4">
      <c r="D392" s="117"/>
    </row>
    <row r="393" spans="4:4">
      <c r="D393" s="117"/>
    </row>
    <row r="394" spans="4:4">
      <c r="D394" s="117"/>
    </row>
    <row r="395" spans="4:4">
      <c r="D395" s="117"/>
    </row>
    <row r="396" spans="4:4">
      <c r="D396" s="117"/>
    </row>
    <row r="397" spans="4:4">
      <c r="D397" s="117"/>
    </row>
    <row r="398" spans="4:4">
      <c r="D398" s="117"/>
    </row>
    <row r="399" spans="4:4">
      <c r="D399" s="117"/>
    </row>
    <row r="400" spans="4:4">
      <c r="D400" s="117"/>
    </row>
    <row r="401" spans="4:4">
      <c r="D401" s="117"/>
    </row>
    <row r="402" spans="4:4">
      <c r="D402" s="117"/>
    </row>
    <row r="403" spans="4:4">
      <c r="D403" s="117"/>
    </row>
    <row r="404" spans="4:4">
      <c r="D404" s="117"/>
    </row>
    <row r="405" spans="4:4">
      <c r="D405" s="117"/>
    </row>
    <row r="406" spans="4:4">
      <c r="D406" s="117"/>
    </row>
    <row r="407" spans="4:4">
      <c r="D407" s="117"/>
    </row>
    <row r="408" spans="4:4">
      <c r="D408" s="117"/>
    </row>
    <row r="409" spans="4:4">
      <c r="D409" s="117"/>
    </row>
    <row r="410" spans="4:4">
      <c r="D410" s="117"/>
    </row>
    <row r="411" spans="4:4">
      <c r="D411" s="117"/>
    </row>
    <row r="412" spans="4:4">
      <c r="D412" s="117"/>
    </row>
    <row r="413" spans="4:4">
      <c r="D413" s="117"/>
    </row>
    <row r="414" spans="4:4">
      <c r="D414" s="117"/>
    </row>
    <row r="415" spans="4:4">
      <c r="D415" s="117"/>
    </row>
    <row r="416" spans="4:4">
      <c r="D416" s="117"/>
    </row>
    <row r="417" spans="4:4">
      <c r="D417" s="117"/>
    </row>
    <row r="418" spans="4:4">
      <c r="D418" s="117"/>
    </row>
    <row r="419" spans="4:4">
      <c r="D419" s="117"/>
    </row>
    <row r="420" spans="4:4">
      <c r="D420" s="117"/>
    </row>
    <row r="421" spans="4:4">
      <c r="D421" s="117"/>
    </row>
    <row r="422" spans="4:4">
      <c r="D422" s="117"/>
    </row>
    <row r="423" spans="4:4">
      <c r="D423" s="117"/>
    </row>
    <row r="424" spans="4:4">
      <c r="D424" s="117"/>
    </row>
    <row r="425" spans="4:4">
      <c r="D425" s="117"/>
    </row>
    <row r="426" spans="4:4">
      <c r="D426" s="117"/>
    </row>
    <row r="427" spans="4:4">
      <c r="D427" s="117"/>
    </row>
    <row r="428" spans="4:4">
      <c r="D428" s="117"/>
    </row>
    <row r="429" spans="4:4">
      <c r="D429" s="117"/>
    </row>
    <row r="430" spans="4:4">
      <c r="D430" s="117"/>
    </row>
    <row r="431" spans="4:4">
      <c r="D431" s="117"/>
    </row>
    <row r="432" spans="4:4">
      <c r="D432" s="117"/>
    </row>
    <row r="433" spans="4:4">
      <c r="D433" s="117"/>
    </row>
    <row r="434" spans="4:4">
      <c r="D434" s="117"/>
    </row>
    <row r="435" spans="4:4">
      <c r="D435" s="117"/>
    </row>
    <row r="436" spans="4:4">
      <c r="D436" s="117"/>
    </row>
    <row r="437" spans="4:4">
      <c r="D437" s="117"/>
    </row>
    <row r="438" spans="4:4">
      <c r="D438" s="117"/>
    </row>
    <row r="439" spans="4:4">
      <c r="D439" s="117"/>
    </row>
    <row r="440" spans="4:4">
      <c r="D440" s="117"/>
    </row>
    <row r="441" spans="4:4">
      <c r="D441" s="117"/>
    </row>
    <row r="442" spans="4:4">
      <c r="D442" s="117"/>
    </row>
    <row r="443" spans="4:4">
      <c r="D443" s="117"/>
    </row>
    <row r="444" spans="4:4">
      <c r="D444" s="117"/>
    </row>
    <row r="445" spans="4:4">
      <c r="D445" s="117"/>
    </row>
    <row r="446" spans="4:4">
      <c r="D446" s="117"/>
    </row>
    <row r="447" spans="4:4">
      <c r="D447" s="117"/>
    </row>
    <row r="448" spans="4:4">
      <c r="D448" s="117"/>
    </row>
    <row r="449" spans="4:4">
      <c r="D449" s="117"/>
    </row>
    <row r="450" spans="4:4">
      <c r="D450" s="117"/>
    </row>
    <row r="451" spans="4:4">
      <c r="D451" s="117"/>
    </row>
    <row r="452" spans="4:4">
      <c r="D452" s="117"/>
    </row>
    <row r="453" spans="4:4">
      <c r="D453" s="117"/>
    </row>
    <row r="454" spans="4:4">
      <c r="D454" s="117"/>
    </row>
    <row r="455" spans="4:4">
      <c r="D455" s="117"/>
    </row>
    <row r="456" spans="4:4">
      <c r="D456" s="117"/>
    </row>
    <row r="457" spans="4:4">
      <c r="D457" s="117"/>
    </row>
    <row r="458" spans="4:4">
      <c r="D458" s="117"/>
    </row>
    <row r="459" spans="4:4">
      <c r="D459" s="117"/>
    </row>
    <row r="460" spans="4:4">
      <c r="D460" s="117"/>
    </row>
    <row r="461" spans="4:4">
      <c r="D461" s="117"/>
    </row>
    <row r="462" spans="4:4">
      <c r="D462" s="117"/>
    </row>
    <row r="463" spans="4:4">
      <c r="D463" s="117"/>
    </row>
    <row r="464" spans="4:4">
      <c r="D464" s="117"/>
    </row>
    <row r="465" spans="4:4">
      <c r="D465" s="117"/>
    </row>
    <row r="466" spans="4:4">
      <c r="D466" s="117"/>
    </row>
    <row r="467" spans="4:4">
      <c r="D467" s="117"/>
    </row>
    <row r="468" spans="4:4">
      <c r="D468" s="117"/>
    </row>
    <row r="469" spans="4:4">
      <c r="D469" s="117"/>
    </row>
    <row r="470" spans="4:4">
      <c r="D470" s="117"/>
    </row>
    <row r="471" spans="4:4">
      <c r="D471" s="117"/>
    </row>
    <row r="472" spans="4:4">
      <c r="D472" s="117"/>
    </row>
    <row r="473" spans="4:4">
      <c r="D473" s="117"/>
    </row>
    <row r="474" spans="4:4">
      <c r="D474" s="117"/>
    </row>
    <row r="475" spans="4:4">
      <c r="D475" s="117"/>
    </row>
    <row r="476" spans="4:4">
      <c r="D476" s="117"/>
    </row>
    <row r="477" spans="4:4">
      <c r="D477" s="117"/>
    </row>
    <row r="478" spans="4:4">
      <c r="D478" s="117"/>
    </row>
    <row r="479" spans="4:4">
      <c r="D479" s="117"/>
    </row>
    <row r="480" spans="4:4">
      <c r="D480" s="117"/>
    </row>
    <row r="481" spans="4:4">
      <c r="D481" s="117"/>
    </row>
    <row r="482" spans="4:4">
      <c r="D482" s="117"/>
    </row>
    <row r="483" spans="4:4">
      <c r="D483" s="117"/>
    </row>
    <row r="484" spans="4:4">
      <c r="D484" s="117"/>
    </row>
    <row r="485" spans="4:4">
      <c r="D485" s="117"/>
    </row>
    <row r="486" spans="4:4">
      <c r="D486" s="117"/>
    </row>
    <row r="487" spans="4:4">
      <c r="D487" s="117"/>
    </row>
    <row r="488" spans="4:4">
      <c r="D488" s="117"/>
    </row>
    <row r="489" spans="4:4">
      <c r="D489" s="117"/>
    </row>
    <row r="490" spans="4:4">
      <c r="D490" s="117"/>
    </row>
    <row r="491" spans="4:4">
      <c r="D491" s="117"/>
    </row>
    <row r="492" spans="4:4">
      <c r="D492" s="117"/>
    </row>
    <row r="493" spans="4:4">
      <c r="D493" s="117"/>
    </row>
    <row r="494" spans="4:4">
      <c r="D494" s="117"/>
    </row>
    <row r="495" spans="4:4">
      <c r="D495" s="117"/>
    </row>
    <row r="496" spans="4:4">
      <c r="D496" s="117"/>
    </row>
    <row r="497" spans="4:4">
      <c r="D497" s="117"/>
    </row>
    <row r="498" spans="4:4">
      <c r="D498" s="117"/>
    </row>
    <row r="499" spans="4:4">
      <c r="D499" s="117"/>
    </row>
    <row r="500" spans="4:4">
      <c r="D500" s="117"/>
    </row>
    <row r="501" spans="4:4">
      <c r="D501" s="117"/>
    </row>
    <row r="502" spans="4:4">
      <c r="D502" s="117"/>
    </row>
    <row r="503" spans="4:4">
      <c r="D503" s="117"/>
    </row>
    <row r="504" spans="4:4">
      <c r="D504" s="117"/>
    </row>
    <row r="505" spans="4:4">
      <c r="D505" s="117"/>
    </row>
    <row r="506" spans="4:4">
      <c r="D506" s="117"/>
    </row>
    <row r="507" spans="4:4">
      <c r="D507" s="117"/>
    </row>
    <row r="508" spans="4:4">
      <c r="D508" s="117"/>
    </row>
    <row r="509" spans="4:4">
      <c r="D509" s="117"/>
    </row>
    <row r="510" spans="4:4">
      <c r="D510" s="117"/>
    </row>
    <row r="511" spans="4:4">
      <c r="D511" s="117"/>
    </row>
    <row r="512" spans="4:4">
      <c r="D512" s="117"/>
    </row>
    <row r="513" spans="4:4">
      <c r="D513" s="117"/>
    </row>
    <row r="514" spans="4:4">
      <c r="D514" s="117"/>
    </row>
    <row r="515" spans="4:4">
      <c r="D515" s="117"/>
    </row>
    <row r="516" spans="4:4">
      <c r="D516" s="117"/>
    </row>
    <row r="517" spans="4:4">
      <c r="D517" s="117"/>
    </row>
    <row r="518" spans="4:4">
      <c r="D518" s="117"/>
    </row>
    <row r="519" spans="4:4">
      <c r="D519" s="117"/>
    </row>
    <row r="520" spans="4:4">
      <c r="D520" s="117"/>
    </row>
    <row r="521" spans="4:4">
      <c r="D521" s="117"/>
    </row>
    <row r="522" spans="4:4">
      <c r="D522" s="117"/>
    </row>
    <row r="523" spans="4:4">
      <c r="D523" s="117"/>
    </row>
    <row r="524" spans="4:4">
      <c r="D524" s="117"/>
    </row>
    <row r="525" spans="4:4">
      <c r="D525" s="117"/>
    </row>
    <row r="526" spans="4:4">
      <c r="D526" s="117"/>
    </row>
    <row r="527" spans="4:4">
      <c r="D527" s="117"/>
    </row>
    <row r="528" spans="4:4">
      <c r="D528" s="117"/>
    </row>
    <row r="529" spans="4:4">
      <c r="D529" s="117"/>
    </row>
    <row r="530" spans="4:4">
      <c r="D530" s="117"/>
    </row>
    <row r="531" spans="4:4">
      <c r="D531" s="117"/>
    </row>
    <row r="532" spans="4:4">
      <c r="D532" s="117"/>
    </row>
    <row r="533" spans="4:4">
      <c r="D533" s="117"/>
    </row>
    <row r="534" spans="4:4">
      <c r="D534" s="117"/>
    </row>
    <row r="535" spans="4:4">
      <c r="D535" s="117"/>
    </row>
    <row r="536" spans="4:4">
      <c r="D536" s="117"/>
    </row>
    <row r="537" spans="4:4">
      <c r="D537" s="117"/>
    </row>
    <row r="538" spans="4:4">
      <c r="D538" s="117"/>
    </row>
    <row r="539" spans="4:4">
      <c r="D539" s="117"/>
    </row>
    <row r="540" spans="4:4">
      <c r="D540" s="117"/>
    </row>
    <row r="541" spans="4:4">
      <c r="D541" s="117"/>
    </row>
    <row r="542" spans="4:4">
      <c r="D542" s="117"/>
    </row>
    <row r="543" spans="4:4">
      <c r="D543" s="117"/>
    </row>
    <row r="544" spans="4:4">
      <c r="D544" s="117"/>
    </row>
    <row r="545" spans="4:4">
      <c r="D545" s="117"/>
    </row>
    <row r="546" spans="4:4">
      <c r="D546" s="117"/>
    </row>
    <row r="547" spans="4:4">
      <c r="D547" s="117"/>
    </row>
    <row r="548" spans="4:4">
      <c r="D548" s="117"/>
    </row>
    <row r="549" spans="4:4">
      <c r="D549" s="117"/>
    </row>
    <row r="550" spans="4:4">
      <c r="D550" s="117"/>
    </row>
    <row r="551" spans="4:4">
      <c r="D551" s="117"/>
    </row>
    <row r="552" spans="4:4">
      <c r="D552" s="117"/>
    </row>
    <row r="553" spans="4:4">
      <c r="D553" s="117"/>
    </row>
    <row r="554" spans="4:4">
      <c r="D554" s="117"/>
    </row>
    <row r="555" spans="4:4">
      <c r="D555" s="117"/>
    </row>
    <row r="556" spans="4:4">
      <c r="D556" s="117"/>
    </row>
    <row r="557" spans="4:4">
      <c r="D557" s="117"/>
    </row>
    <row r="558" spans="4:4">
      <c r="D558" s="117"/>
    </row>
    <row r="559" spans="4:4">
      <c r="D559" s="117"/>
    </row>
    <row r="560" spans="4:4">
      <c r="D560" s="117"/>
    </row>
    <row r="561" spans="4:4">
      <c r="D561" s="117"/>
    </row>
    <row r="562" spans="4:4">
      <c r="D562" s="117"/>
    </row>
    <row r="563" spans="4:4">
      <c r="D563" s="117"/>
    </row>
    <row r="564" spans="4:4">
      <c r="D564" s="117"/>
    </row>
    <row r="565" spans="4:4">
      <c r="D565" s="117"/>
    </row>
    <row r="566" spans="4:4">
      <c r="D566" s="117"/>
    </row>
    <row r="567" spans="4:4">
      <c r="D567" s="117"/>
    </row>
    <row r="568" spans="4:4">
      <c r="D568" s="117"/>
    </row>
    <row r="569" spans="4:4">
      <c r="D569" s="117"/>
    </row>
    <row r="570" spans="4:4">
      <c r="D570" s="117"/>
    </row>
    <row r="571" spans="4:4">
      <c r="D571" s="117"/>
    </row>
    <row r="572" spans="4:4">
      <c r="D572" s="117"/>
    </row>
    <row r="573" spans="4:4">
      <c r="D573" s="117"/>
    </row>
    <row r="574" spans="4:4">
      <c r="D574" s="117"/>
    </row>
    <row r="575" spans="4:4">
      <c r="D575" s="117"/>
    </row>
    <row r="576" spans="4:4">
      <c r="D576" s="117"/>
    </row>
    <row r="577" spans="4:4">
      <c r="D577" s="117"/>
    </row>
    <row r="578" spans="4:4">
      <c r="D578" s="117"/>
    </row>
    <row r="579" spans="4:4">
      <c r="D579" s="117"/>
    </row>
    <row r="580" spans="4:4">
      <c r="D580" s="117"/>
    </row>
    <row r="581" spans="4:4">
      <c r="D581" s="117"/>
    </row>
    <row r="582" spans="4:4">
      <c r="D582" s="117"/>
    </row>
    <row r="583" spans="4:4">
      <c r="D583" s="117"/>
    </row>
    <row r="584" spans="4:4">
      <c r="D584" s="117"/>
    </row>
    <row r="585" spans="4:4">
      <c r="D585" s="117"/>
    </row>
    <row r="586" spans="4:4">
      <c r="D586" s="117"/>
    </row>
    <row r="587" spans="4:4">
      <c r="D587" s="117"/>
    </row>
    <row r="588" spans="4:4">
      <c r="D588" s="117"/>
    </row>
    <row r="589" spans="4:4">
      <c r="D589" s="117"/>
    </row>
    <row r="590" spans="4:4">
      <c r="D590" s="117"/>
    </row>
    <row r="591" spans="4:4">
      <c r="D591" s="117"/>
    </row>
    <row r="592" spans="4:4">
      <c r="D592" s="117"/>
    </row>
    <row r="593" spans="4:4">
      <c r="D593" s="117"/>
    </row>
    <row r="594" spans="4:4">
      <c r="D594" s="117"/>
    </row>
    <row r="595" spans="4:4">
      <c r="D595" s="117"/>
    </row>
    <row r="596" spans="4:4">
      <c r="D596" s="117"/>
    </row>
    <row r="597" spans="4:4">
      <c r="D597" s="117"/>
    </row>
    <row r="598" spans="4:4">
      <c r="D598" s="117"/>
    </row>
    <row r="599" spans="4:4">
      <c r="D599" s="117"/>
    </row>
    <row r="600" spans="4:4">
      <c r="D600" s="117"/>
    </row>
    <row r="601" spans="4:4">
      <c r="D601" s="117"/>
    </row>
    <row r="602" spans="4:4">
      <c r="D602" s="117"/>
    </row>
    <row r="603" spans="4:4">
      <c r="D603" s="117"/>
    </row>
    <row r="604" spans="4:4">
      <c r="D604" s="117"/>
    </row>
    <row r="605" spans="4:4">
      <c r="D605" s="117"/>
    </row>
    <row r="606" spans="4:4">
      <c r="D606" s="117"/>
    </row>
    <row r="607" spans="4:4">
      <c r="D607" s="117"/>
    </row>
    <row r="608" spans="4:4">
      <c r="D608" s="117"/>
    </row>
    <row r="609" spans="4:4">
      <c r="D609" s="117"/>
    </row>
    <row r="610" spans="4:4">
      <c r="D610" s="117"/>
    </row>
    <row r="611" spans="4:4">
      <c r="D611" s="117"/>
    </row>
    <row r="612" spans="4:4">
      <c r="D612" s="117"/>
    </row>
    <row r="613" spans="4:4">
      <c r="D613" s="117"/>
    </row>
    <row r="614" spans="4:4">
      <c r="D614" s="117"/>
    </row>
    <row r="615" spans="4:4">
      <c r="D615" s="117"/>
    </row>
    <row r="616" spans="4:4">
      <c r="D616" s="117"/>
    </row>
    <row r="617" spans="4:4">
      <c r="D617" s="117"/>
    </row>
    <row r="618" spans="4:4">
      <c r="D618" s="117"/>
    </row>
    <row r="619" spans="4:4">
      <c r="D619" s="117"/>
    </row>
    <row r="620" spans="4:4">
      <c r="D620" s="117"/>
    </row>
    <row r="621" spans="4:4">
      <c r="D621" s="117"/>
    </row>
    <row r="622" spans="4:4">
      <c r="D622" s="117"/>
    </row>
    <row r="623" spans="4:4">
      <c r="D623" s="117"/>
    </row>
    <row r="624" spans="4:4">
      <c r="D624" s="117"/>
    </row>
    <row r="625" spans="4:4">
      <c r="D625" s="117"/>
    </row>
    <row r="626" spans="4:4">
      <c r="D626" s="117"/>
    </row>
    <row r="627" spans="4:4">
      <c r="D627" s="117"/>
    </row>
    <row r="628" spans="4:4">
      <c r="D628" s="117"/>
    </row>
    <row r="629" spans="4:4">
      <c r="D629" s="117"/>
    </row>
    <row r="630" spans="4:4">
      <c r="D630" s="117"/>
    </row>
    <row r="631" spans="4:4">
      <c r="D631" s="117"/>
    </row>
    <row r="632" spans="4:4">
      <c r="D632" s="117"/>
    </row>
    <row r="633" spans="4:4">
      <c r="D633" s="117"/>
    </row>
    <row r="634" spans="4:4">
      <c r="D634" s="117"/>
    </row>
    <row r="635" spans="4:4">
      <c r="D635" s="117"/>
    </row>
    <row r="636" spans="4:4">
      <c r="D636" s="117"/>
    </row>
    <row r="637" spans="4:4">
      <c r="D637" s="117"/>
    </row>
    <row r="638" spans="4:4">
      <c r="D638" s="117"/>
    </row>
    <row r="639" spans="4:4">
      <c r="D639" s="117"/>
    </row>
    <row r="640" spans="4:4">
      <c r="D640" s="117"/>
    </row>
    <row r="641" spans="4:4">
      <c r="D641" s="117"/>
    </row>
    <row r="642" spans="4:4">
      <c r="D642" s="117"/>
    </row>
    <row r="643" spans="4:4">
      <c r="D643" s="117"/>
    </row>
    <row r="644" spans="4:4">
      <c r="D644" s="117"/>
    </row>
    <row r="645" spans="4:4">
      <c r="D645" s="117"/>
    </row>
    <row r="646" spans="4:4">
      <c r="D646" s="117"/>
    </row>
    <row r="647" spans="4:4">
      <c r="D647" s="117"/>
    </row>
    <row r="648" spans="4:4">
      <c r="D648" s="117"/>
    </row>
    <row r="649" spans="4:4">
      <c r="D649" s="117"/>
    </row>
    <row r="650" spans="4:4">
      <c r="D650" s="117"/>
    </row>
    <row r="651" spans="4:4">
      <c r="D651" s="117"/>
    </row>
    <row r="652" spans="4:4">
      <c r="D652" s="117"/>
    </row>
    <row r="653" spans="4:4">
      <c r="D653" s="117"/>
    </row>
    <row r="654" spans="4:4">
      <c r="D654" s="117"/>
    </row>
    <row r="655" spans="4:4">
      <c r="D655" s="117"/>
    </row>
    <row r="656" spans="4:4">
      <c r="D656" s="117"/>
    </row>
    <row r="657" spans="4:4">
      <c r="D657" s="117"/>
    </row>
    <row r="658" spans="4:4">
      <c r="D658" s="117"/>
    </row>
    <row r="659" spans="4:4">
      <c r="D659" s="117"/>
    </row>
    <row r="660" spans="4:4">
      <c r="D660" s="117"/>
    </row>
    <row r="661" spans="4:4">
      <c r="D661" s="117"/>
    </row>
    <row r="662" spans="4:4">
      <c r="D662" s="117"/>
    </row>
    <row r="663" spans="4:4">
      <c r="D663" s="117"/>
    </row>
    <row r="664" spans="4:4">
      <c r="D664" s="117"/>
    </row>
    <row r="665" spans="4:4">
      <c r="D665" s="117"/>
    </row>
    <row r="666" spans="4:4">
      <c r="D666" s="117"/>
    </row>
    <row r="667" spans="4:4">
      <c r="D667" s="117"/>
    </row>
    <row r="668" spans="4:4">
      <c r="D668" s="117"/>
    </row>
    <row r="669" spans="4:4">
      <c r="D669" s="117"/>
    </row>
    <row r="670" spans="4:4">
      <c r="D670" s="117"/>
    </row>
    <row r="671" spans="4:4">
      <c r="D671" s="117"/>
    </row>
    <row r="672" spans="4:4">
      <c r="D672" s="117"/>
    </row>
    <row r="673" spans="4:4">
      <c r="D673" s="117"/>
    </row>
    <row r="674" spans="4:4">
      <c r="D674" s="117"/>
    </row>
    <row r="675" spans="4:4">
      <c r="D675" s="117"/>
    </row>
    <row r="676" spans="4:4">
      <c r="D676" s="117"/>
    </row>
    <row r="677" spans="4:4">
      <c r="D677" s="117"/>
    </row>
    <row r="678" spans="4:4">
      <c r="D678" s="117"/>
    </row>
    <row r="679" spans="4:4">
      <c r="D679" s="117"/>
    </row>
    <row r="680" spans="4:4">
      <c r="D680" s="117"/>
    </row>
    <row r="681" spans="4:4">
      <c r="D681" s="117"/>
    </row>
    <row r="682" spans="4:4">
      <c r="D682" s="117"/>
    </row>
    <row r="683" spans="4:4">
      <c r="D683" s="117"/>
    </row>
    <row r="684" spans="4:4">
      <c r="D684" s="117"/>
    </row>
    <row r="685" spans="4:4">
      <c r="D685" s="117"/>
    </row>
    <row r="686" spans="4:4">
      <c r="D686" s="117"/>
    </row>
    <row r="687" spans="4:4">
      <c r="D687" s="117"/>
    </row>
    <row r="688" spans="4:4">
      <c r="D688" s="117"/>
    </row>
    <row r="689" spans="4:4">
      <c r="D689" s="117"/>
    </row>
    <row r="690" spans="4:4">
      <c r="D690" s="117"/>
    </row>
    <row r="691" spans="4:4">
      <c r="D691" s="117"/>
    </row>
    <row r="692" spans="4:4">
      <c r="D692" s="117"/>
    </row>
    <row r="693" spans="4:4">
      <c r="D693" s="117"/>
    </row>
    <row r="694" spans="4:4">
      <c r="D694" s="117"/>
    </row>
    <row r="695" spans="4:4">
      <c r="D695" s="117"/>
    </row>
    <row r="696" spans="4:4">
      <c r="D696" s="117"/>
    </row>
    <row r="697" spans="4:4">
      <c r="D697" s="117"/>
    </row>
    <row r="698" spans="4:4">
      <c r="D698" s="117"/>
    </row>
    <row r="699" spans="4:4">
      <c r="D699" s="117"/>
    </row>
    <row r="700" spans="4:4">
      <c r="D700" s="117"/>
    </row>
    <row r="701" spans="4:4">
      <c r="D701" s="117"/>
    </row>
    <row r="702" spans="4:4">
      <c r="D702" s="117"/>
    </row>
    <row r="703" spans="4:4">
      <c r="D703" s="117"/>
    </row>
    <row r="704" spans="4:4">
      <c r="D704" s="117"/>
    </row>
    <row r="705" spans="4:4">
      <c r="D705" s="117"/>
    </row>
    <row r="706" spans="4:4">
      <c r="D706" s="117"/>
    </row>
    <row r="707" spans="4:4">
      <c r="D707" s="117"/>
    </row>
    <row r="708" spans="4:4">
      <c r="D708" s="117"/>
    </row>
    <row r="709" spans="4:4">
      <c r="D709" s="117"/>
    </row>
    <row r="710" spans="4:4">
      <c r="D710" s="117"/>
    </row>
    <row r="711" spans="4:4">
      <c r="D711" s="117"/>
    </row>
    <row r="712" spans="4:4">
      <c r="D712" s="117"/>
    </row>
    <row r="713" spans="4:4">
      <c r="D713" s="117"/>
    </row>
    <row r="714" spans="4:4">
      <c r="D714" s="117"/>
    </row>
    <row r="715" spans="4:4">
      <c r="D715" s="117"/>
    </row>
    <row r="716" spans="4:4">
      <c r="D716" s="117"/>
    </row>
    <row r="717" spans="4:4">
      <c r="D717" s="117"/>
    </row>
    <row r="718" spans="4:4">
      <c r="D718" s="117"/>
    </row>
    <row r="719" spans="4:4">
      <c r="D719" s="117"/>
    </row>
    <row r="720" spans="4:4">
      <c r="D720" s="117"/>
    </row>
    <row r="721" spans="4:4">
      <c r="D721" s="117"/>
    </row>
    <row r="722" spans="4:4">
      <c r="D722" s="117"/>
    </row>
    <row r="723" spans="4:4">
      <c r="D723" s="117"/>
    </row>
    <row r="724" spans="4:4">
      <c r="D724" s="117"/>
    </row>
    <row r="725" spans="4:4">
      <c r="D725" s="117"/>
    </row>
    <row r="726" spans="4:4">
      <c r="D726" s="117"/>
    </row>
    <row r="727" spans="4:4">
      <c r="D727" s="117"/>
    </row>
    <row r="728" spans="4:4">
      <c r="D728" s="117"/>
    </row>
    <row r="729" spans="4:4">
      <c r="D729" s="117"/>
    </row>
    <row r="730" spans="4:4">
      <c r="D730" s="117"/>
    </row>
    <row r="731" spans="4:4">
      <c r="D731" s="117"/>
    </row>
    <row r="732" spans="4:4">
      <c r="D732" s="117"/>
    </row>
    <row r="733" spans="4:4">
      <c r="D733" s="117"/>
    </row>
    <row r="734" spans="4:4">
      <c r="D734" s="117"/>
    </row>
    <row r="735" spans="4:4">
      <c r="D735" s="117"/>
    </row>
    <row r="736" spans="4:4">
      <c r="D736" s="117"/>
    </row>
    <row r="737" spans="4:4">
      <c r="D737" s="117"/>
    </row>
    <row r="738" spans="4:4">
      <c r="D738" s="117"/>
    </row>
    <row r="739" spans="4:4">
      <c r="D739" s="117"/>
    </row>
    <row r="740" spans="4:4">
      <c r="D740" s="117"/>
    </row>
    <row r="741" spans="4:4">
      <c r="D741" s="117"/>
    </row>
    <row r="742" spans="4:4">
      <c r="D742" s="117"/>
    </row>
    <row r="743" spans="4:4">
      <c r="D743" s="117"/>
    </row>
    <row r="744" spans="4:4">
      <c r="D744" s="117"/>
    </row>
    <row r="745" spans="4:4">
      <c r="D745" s="117"/>
    </row>
    <row r="746" spans="4:4">
      <c r="D746" s="117"/>
    </row>
    <row r="747" spans="4:4">
      <c r="D747" s="117"/>
    </row>
    <row r="748" spans="4:4">
      <c r="D748" s="117"/>
    </row>
    <row r="749" spans="4:4">
      <c r="D749" s="117"/>
    </row>
    <row r="750" spans="4:4">
      <c r="D750" s="117"/>
    </row>
    <row r="751" spans="4:4">
      <c r="D751" s="117"/>
    </row>
    <row r="752" spans="4:4">
      <c r="D752" s="117"/>
    </row>
    <row r="753" spans="4:4">
      <c r="D753" s="117"/>
    </row>
    <row r="754" spans="4:4">
      <c r="D754" s="117"/>
    </row>
    <row r="755" spans="4:4">
      <c r="D755" s="117"/>
    </row>
    <row r="756" spans="4:4">
      <c r="D756" s="117"/>
    </row>
    <row r="757" spans="4:4">
      <c r="D757" s="117"/>
    </row>
    <row r="758" spans="4:4">
      <c r="D758" s="117"/>
    </row>
    <row r="759" spans="4:4">
      <c r="D759" s="117"/>
    </row>
    <row r="760" spans="4:4">
      <c r="D760" s="117"/>
    </row>
    <row r="761" spans="4:4">
      <c r="D761" s="117"/>
    </row>
    <row r="762" spans="4:4">
      <c r="D762" s="117"/>
    </row>
    <row r="763" spans="4:4">
      <c r="D763" s="117"/>
    </row>
    <row r="764" spans="4:4">
      <c r="D764" s="117"/>
    </row>
    <row r="765" spans="4:4">
      <c r="D765" s="117"/>
    </row>
    <row r="766" spans="4:4">
      <c r="D766" s="117"/>
    </row>
    <row r="767" spans="4:4">
      <c r="D767" s="117"/>
    </row>
    <row r="768" spans="4:4">
      <c r="D768" s="117"/>
    </row>
    <row r="769" spans="4:4">
      <c r="D769" s="117"/>
    </row>
    <row r="770" spans="4:4">
      <c r="D770" s="117"/>
    </row>
    <row r="771" spans="4:4">
      <c r="D771" s="117"/>
    </row>
    <row r="772" spans="4:4">
      <c r="D772" s="117"/>
    </row>
    <row r="773" spans="4:4">
      <c r="D773" s="117"/>
    </row>
    <row r="774" spans="4:4">
      <c r="D774" s="117"/>
    </row>
    <row r="775" spans="4:4">
      <c r="D775" s="117"/>
    </row>
    <row r="776" spans="4:4">
      <c r="D776" s="117"/>
    </row>
    <row r="777" spans="4:4">
      <c r="D777" s="117"/>
    </row>
    <row r="778" spans="4:4">
      <c r="D778" s="117"/>
    </row>
    <row r="779" spans="4:4">
      <c r="D779" s="117"/>
    </row>
    <row r="780" spans="4:4">
      <c r="D780" s="117"/>
    </row>
    <row r="781" spans="4:4">
      <c r="D781" s="117"/>
    </row>
    <row r="782" spans="4:4">
      <c r="D782" s="117"/>
    </row>
    <row r="783" spans="4:4">
      <c r="D783" s="117"/>
    </row>
    <row r="784" spans="4:4">
      <c r="D784" s="117"/>
    </row>
    <row r="785" spans="4:4">
      <c r="D785" s="117"/>
    </row>
    <row r="786" spans="4:4">
      <c r="D786" s="117"/>
    </row>
    <row r="787" spans="4:4">
      <c r="D787" s="117"/>
    </row>
    <row r="788" spans="4:4">
      <c r="D788" s="117"/>
    </row>
    <row r="789" spans="4:4">
      <c r="D789" s="117"/>
    </row>
    <row r="790" spans="4:4">
      <c r="D790" s="117"/>
    </row>
    <row r="791" spans="4:4">
      <c r="D791" s="117"/>
    </row>
    <row r="792" spans="4:4">
      <c r="D792" s="117"/>
    </row>
    <row r="793" spans="4:4">
      <c r="D793" s="117"/>
    </row>
    <row r="794" spans="4:4">
      <c r="D794" s="117"/>
    </row>
    <row r="795" spans="4:4">
      <c r="D795" s="117"/>
    </row>
    <row r="796" spans="4:4">
      <c r="D796" s="117"/>
    </row>
    <row r="797" spans="4:4">
      <c r="D797" s="117"/>
    </row>
    <row r="798" spans="4:4">
      <c r="D798" s="117"/>
    </row>
    <row r="799" spans="4:4">
      <c r="D799" s="117"/>
    </row>
    <row r="800" spans="4:4">
      <c r="D800" s="117"/>
    </row>
    <row r="801" spans="4:4">
      <c r="D801" s="117"/>
    </row>
    <row r="802" spans="4:4">
      <c r="D802" s="117"/>
    </row>
    <row r="803" spans="4:4">
      <c r="D803" s="117"/>
    </row>
    <row r="804" spans="4:4">
      <c r="D804" s="117"/>
    </row>
    <row r="805" spans="4:4">
      <c r="D805" s="117"/>
    </row>
    <row r="806" spans="4:4">
      <c r="D806" s="117"/>
    </row>
    <row r="807" spans="4:4">
      <c r="D807" s="117"/>
    </row>
    <row r="808" spans="4:4">
      <c r="D808" s="117"/>
    </row>
    <row r="809" spans="4:4">
      <c r="D809" s="117"/>
    </row>
    <row r="810" spans="4:4">
      <c r="D810" s="117"/>
    </row>
    <row r="811" spans="4:4">
      <c r="D811" s="117"/>
    </row>
    <row r="812" spans="4:4">
      <c r="D812" s="117"/>
    </row>
    <row r="813" spans="4:4">
      <c r="D813" s="117"/>
    </row>
    <row r="814" spans="4:4">
      <c r="D814" s="117"/>
    </row>
    <row r="815" spans="4:4">
      <c r="D815" s="117"/>
    </row>
    <row r="816" spans="4:4">
      <c r="D816" s="117"/>
    </row>
    <row r="817" spans="4:4">
      <c r="D817" s="117"/>
    </row>
    <row r="818" spans="4:4">
      <c r="D818" s="117"/>
    </row>
    <row r="819" spans="4:4">
      <c r="D819" s="117"/>
    </row>
    <row r="820" spans="4:4">
      <c r="D820" s="117"/>
    </row>
    <row r="821" spans="4:4">
      <c r="D821" s="117"/>
    </row>
    <row r="822" spans="4:4">
      <c r="D822" s="117"/>
    </row>
    <row r="823" spans="4:4">
      <c r="D823" s="117"/>
    </row>
    <row r="824" spans="4:4">
      <c r="D824" s="117"/>
    </row>
    <row r="825" spans="4:4">
      <c r="D825" s="117"/>
    </row>
    <row r="826" spans="4:4">
      <c r="D826" s="117"/>
    </row>
    <row r="827" spans="4:4">
      <c r="D827" s="117"/>
    </row>
    <row r="828" spans="4:4">
      <c r="D828" s="117"/>
    </row>
    <row r="829" spans="4:4">
      <c r="D829" s="117"/>
    </row>
    <row r="830" spans="4:4">
      <c r="D830" s="117"/>
    </row>
    <row r="831" spans="4:4">
      <c r="D831" s="117"/>
    </row>
    <row r="832" spans="4:4">
      <c r="D832" s="117"/>
    </row>
    <row r="833" spans="4:4">
      <c r="D833" s="117"/>
    </row>
    <row r="834" spans="4:4">
      <c r="D834" s="117"/>
    </row>
    <row r="835" spans="4:4">
      <c r="D835" s="117"/>
    </row>
    <row r="836" spans="4:4">
      <c r="D836" s="117"/>
    </row>
    <row r="837" spans="4:4">
      <c r="D837" s="117"/>
    </row>
    <row r="838" spans="4:4">
      <c r="D838" s="117"/>
    </row>
    <row r="839" spans="4:4">
      <c r="D839" s="117"/>
    </row>
    <row r="840" spans="4:4">
      <c r="D840" s="117"/>
    </row>
    <row r="841" spans="4:4">
      <c r="D841" s="117"/>
    </row>
    <row r="842" spans="4:4">
      <c r="D842" s="117"/>
    </row>
    <row r="843" spans="4:4">
      <c r="D843" s="117"/>
    </row>
    <row r="844" spans="4:4">
      <c r="D844" s="117"/>
    </row>
    <row r="845" spans="4:4">
      <c r="D845" s="117"/>
    </row>
    <row r="846" spans="4:4">
      <c r="D846" s="117"/>
    </row>
    <row r="847" spans="4:4">
      <c r="D847" s="117"/>
    </row>
    <row r="848" spans="4:4">
      <c r="D848" s="117"/>
    </row>
    <row r="849" spans="4:4">
      <c r="D849" s="117"/>
    </row>
    <row r="850" spans="4:4">
      <c r="D850" s="117"/>
    </row>
    <row r="851" spans="4:4">
      <c r="D851" s="117"/>
    </row>
    <row r="852" spans="4:4">
      <c r="D852" s="117"/>
    </row>
    <row r="853" spans="4:4">
      <c r="D853" s="117"/>
    </row>
    <row r="854" spans="4:4">
      <c r="D854" s="117"/>
    </row>
    <row r="855" spans="4:4">
      <c r="D855" s="117"/>
    </row>
    <row r="856" spans="4:4">
      <c r="D856" s="117"/>
    </row>
    <row r="857" spans="4:4">
      <c r="D857" s="117"/>
    </row>
    <row r="858" spans="4:4">
      <c r="D858" s="117"/>
    </row>
    <row r="859" spans="4:4">
      <c r="D859" s="117"/>
    </row>
    <row r="860" spans="4:4">
      <c r="D860" s="117"/>
    </row>
    <row r="861" spans="4:4">
      <c r="D861" s="117"/>
    </row>
    <row r="862" spans="4:4">
      <c r="D862" s="117"/>
    </row>
    <row r="863" spans="4:4">
      <c r="D863" s="117"/>
    </row>
    <row r="864" spans="4:4">
      <c r="D864" s="117"/>
    </row>
    <row r="865" spans="4:4">
      <c r="D865" s="117"/>
    </row>
    <row r="866" spans="4:4">
      <c r="D866" s="117"/>
    </row>
    <row r="867" spans="4:4">
      <c r="D867" s="117"/>
    </row>
    <row r="868" spans="4:4">
      <c r="D868" s="117"/>
    </row>
    <row r="869" spans="4:4">
      <c r="D869" s="117"/>
    </row>
    <row r="870" spans="4:4">
      <c r="D870" s="117"/>
    </row>
    <row r="871" spans="4:4">
      <c r="D871" s="117"/>
    </row>
    <row r="872" spans="4:4">
      <c r="D872" s="117"/>
    </row>
    <row r="873" spans="4:4">
      <c r="D873" s="117"/>
    </row>
    <row r="874" spans="4:4">
      <c r="D874" s="117"/>
    </row>
    <row r="875" spans="4:4">
      <c r="D875" s="117"/>
    </row>
    <row r="876" spans="4:4">
      <c r="D876" s="117"/>
    </row>
    <row r="877" spans="4:4">
      <c r="D877" s="117"/>
    </row>
    <row r="878" spans="4:4">
      <c r="D878" s="117"/>
    </row>
    <row r="879" spans="4:4">
      <c r="D879" s="117"/>
    </row>
    <row r="880" spans="4:4">
      <c r="D880" s="117"/>
    </row>
    <row r="881" spans="4:4">
      <c r="D881" s="117"/>
    </row>
    <row r="882" spans="4:4">
      <c r="D882" s="117"/>
    </row>
    <row r="883" spans="4:4">
      <c r="D883" s="117"/>
    </row>
    <row r="884" spans="4:4">
      <c r="D884" s="117"/>
    </row>
    <row r="885" spans="4:4">
      <c r="D885" s="117"/>
    </row>
    <row r="886" spans="4:4">
      <c r="D886" s="117"/>
    </row>
    <row r="887" spans="4:4">
      <c r="D887" s="117"/>
    </row>
    <row r="888" spans="4:4">
      <c r="D888" s="117"/>
    </row>
    <row r="889" spans="4:4">
      <c r="D889" s="117"/>
    </row>
    <row r="890" spans="4:4">
      <c r="D890" s="117"/>
    </row>
    <row r="891" spans="4:4">
      <c r="D891" s="117"/>
    </row>
    <row r="892" spans="4:4">
      <c r="D892" s="117"/>
    </row>
    <row r="893" spans="4:4">
      <c r="D893" s="117"/>
    </row>
    <row r="894" spans="4:4">
      <c r="D894" s="117"/>
    </row>
    <row r="895" spans="4:4">
      <c r="D895" s="117"/>
    </row>
    <row r="896" spans="4:4">
      <c r="D896" s="117"/>
    </row>
    <row r="897" spans="4:4">
      <c r="D897" s="117"/>
    </row>
    <row r="898" spans="4:4">
      <c r="D898" s="117"/>
    </row>
    <row r="899" spans="4:4">
      <c r="D899" s="117"/>
    </row>
    <row r="900" spans="4:4">
      <c r="D900" s="117"/>
    </row>
    <row r="901" spans="4:4">
      <c r="D901" s="117"/>
    </row>
    <row r="902" spans="4:4">
      <c r="D902" s="117"/>
    </row>
    <row r="903" spans="4:4">
      <c r="D903" s="117"/>
    </row>
    <row r="904" spans="4:4">
      <c r="D904" s="117"/>
    </row>
    <row r="905" spans="4:4">
      <c r="D905" s="117"/>
    </row>
    <row r="906" spans="4:4">
      <c r="D906" s="117"/>
    </row>
    <row r="907" spans="4:4">
      <c r="D907" s="117"/>
    </row>
    <row r="908" spans="4:4">
      <c r="D908" s="117"/>
    </row>
    <row r="909" spans="4:4">
      <c r="D909" s="117"/>
    </row>
    <row r="910" spans="4:4">
      <c r="D910" s="117"/>
    </row>
    <row r="911" spans="4:4">
      <c r="D911" s="117"/>
    </row>
    <row r="912" spans="4:4">
      <c r="D912" s="117"/>
    </row>
    <row r="913" spans="4:4">
      <c r="D913" s="117"/>
    </row>
    <row r="914" spans="4:4">
      <c r="D914" s="117"/>
    </row>
    <row r="915" spans="4:4">
      <c r="D915" s="117"/>
    </row>
    <row r="916" spans="4:4">
      <c r="D916" s="117"/>
    </row>
    <row r="917" spans="4:4">
      <c r="D917" s="117"/>
    </row>
    <row r="918" spans="4:4">
      <c r="D918" s="117"/>
    </row>
    <row r="919" spans="4:4">
      <c r="D919" s="117"/>
    </row>
    <row r="920" spans="4:4">
      <c r="D920" s="117"/>
    </row>
    <row r="921" spans="4:4">
      <c r="D921" s="117"/>
    </row>
    <row r="922" spans="4:4">
      <c r="D922" s="117"/>
    </row>
    <row r="923" spans="4:4">
      <c r="D923" s="117"/>
    </row>
    <row r="924" spans="4:4">
      <c r="D924" s="117"/>
    </row>
    <row r="925" spans="4:4">
      <c r="D925" s="117"/>
    </row>
    <row r="926" spans="4:4">
      <c r="D926" s="117"/>
    </row>
    <row r="927" spans="4:4">
      <c r="D927" s="117"/>
    </row>
    <row r="928" spans="4:4">
      <c r="D928" s="117"/>
    </row>
    <row r="929" spans="4:4">
      <c r="D929" s="117"/>
    </row>
    <row r="930" spans="4:4">
      <c r="D930" s="117"/>
    </row>
    <row r="931" spans="4:4">
      <c r="D931" s="117"/>
    </row>
    <row r="932" spans="4:4">
      <c r="D932" s="117"/>
    </row>
    <row r="933" spans="4:4">
      <c r="D933" s="117"/>
    </row>
    <row r="934" spans="4:4">
      <c r="D934" s="117"/>
    </row>
    <row r="935" spans="4:4">
      <c r="D935" s="117"/>
    </row>
    <row r="936" spans="4:4">
      <c r="D936" s="117"/>
    </row>
    <row r="937" spans="4:4">
      <c r="D937" s="117"/>
    </row>
    <row r="938" spans="4:4">
      <c r="D938" s="117"/>
    </row>
    <row r="939" spans="4:4">
      <c r="D939" s="117"/>
    </row>
    <row r="940" spans="4:4">
      <c r="D940" s="117"/>
    </row>
    <row r="941" spans="4:4">
      <c r="D941" s="117"/>
    </row>
    <row r="942" spans="4:4">
      <c r="D942" s="117"/>
    </row>
    <row r="943" spans="4:4">
      <c r="D943" s="117"/>
    </row>
    <row r="944" spans="4:4">
      <c r="D944" s="117"/>
    </row>
    <row r="945" spans="4:4">
      <c r="D945" s="117"/>
    </row>
    <row r="946" spans="4:4">
      <c r="D946" s="117"/>
    </row>
    <row r="947" spans="4:4">
      <c r="D947" s="117"/>
    </row>
    <row r="948" spans="4:4">
      <c r="D948" s="117"/>
    </row>
    <row r="949" spans="4:4">
      <c r="D949" s="117"/>
    </row>
    <row r="950" spans="4:4">
      <c r="D950" s="117"/>
    </row>
    <row r="951" spans="4:4">
      <c r="D951" s="117"/>
    </row>
    <row r="952" spans="4:4">
      <c r="D952" s="117"/>
    </row>
    <row r="953" spans="4:4">
      <c r="D953" s="117"/>
    </row>
    <row r="954" spans="4:4">
      <c r="D954" s="117"/>
    </row>
    <row r="955" spans="4:4">
      <c r="D955" s="117"/>
    </row>
    <row r="956" spans="4:4">
      <c r="D956" s="117"/>
    </row>
    <row r="957" spans="4:4">
      <c r="D957" s="117"/>
    </row>
    <row r="958" spans="4:4">
      <c r="D958" s="117"/>
    </row>
    <row r="959" spans="4:4">
      <c r="D959" s="117"/>
    </row>
    <row r="960" spans="4:4">
      <c r="D960" s="117"/>
    </row>
    <row r="961" spans="4:4">
      <c r="D961" s="117"/>
    </row>
    <row r="962" spans="4:4">
      <c r="D962" s="117"/>
    </row>
    <row r="963" spans="4:4">
      <c r="D963" s="117"/>
    </row>
    <row r="964" spans="4:4">
      <c r="D964" s="117"/>
    </row>
    <row r="965" spans="4:4">
      <c r="D965" s="117"/>
    </row>
    <row r="966" spans="4:4">
      <c r="D966" s="117"/>
    </row>
    <row r="967" spans="4:4">
      <c r="D967" s="117"/>
    </row>
    <row r="968" spans="4:4">
      <c r="D968" s="117"/>
    </row>
    <row r="969" spans="4:4">
      <c r="D969" s="117"/>
    </row>
    <row r="970" spans="4:4">
      <c r="D970" s="117"/>
    </row>
    <row r="971" spans="4:4">
      <c r="D971" s="117"/>
    </row>
    <row r="972" spans="4:4">
      <c r="D972" s="117"/>
    </row>
    <row r="973" spans="4:4">
      <c r="D973" s="117"/>
    </row>
    <row r="974" spans="4:4">
      <c r="D974" s="117"/>
    </row>
    <row r="975" spans="4:4">
      <c r="D975" s="117"/>
    </row>
    <row r="976" spans="4:4">
      <c r="D976" s="117"/>
    </row>
    <row r="977" spans="4:4">
      <c r="D977" s="117"/>
    </row>
    <row r="978" spans="4:4">
      <c r="D978" s="117"/>
    </row>
    <row r="979" spans="4:4">
      <c r="D979" s="117"/>
    </row>
    <row r="980" spans="4:4">
      <c r="D980" s="117"/>
    </row>
    <row r="981" spans="4:4">
      <c r="D981" s="117"/>
    </row>
    <row r="982" spans="4:4">
      <c r="D982" s="117"/>
    </row>
    <row r="983" spans="4:4">
      <c r="D983" s="117"/>
    </row>
    <row r="984" spans="4:4">
      <c r="D984" s="117"/>
    </row>
    <row r="985" spans="4:4">
      <c r="D985" s="117"/>
    </row>
    <row r="986" spans="4:4">
      <c r="D986" s="117"/>
    </row>
    <row r="987" spans="4:4">
      <c r="D987" s="117"/>
    </row>
    <row r="988" spans="4:4">
      <c r="D988" s="117"/>
    </row>
    <row r="989" spans="4:4">
      <c r="D989" s="117"/>
    </row>
    <row r="990" spans="4:4">
      <c r="D990" s="117"/>
    </row>
    <row r="991" spans="4:4">
      <c r="D991" s="117"/>
    </row>
    <row r="992" spans="4:4">
      <c r="D992" s="117"/>
    </row>
    <row r="993" spans="4:4">
      <c r="D993" s="117"/>
    </row>
    <row r="994" spans="4:4">
      <c r="D994" s="117"/>
    </row>
    <row r="995" spans="4:4">
      <c r="D995" s="117"/>
    </row>
    <row r="996" spans="4:4">
      <c r="D996" s="117"/>
    </row>
    <row r="997" spans="4:4">
      <c r="D997" s="117"/>
    </row>
    <row r="998" spans="4:4">
      <c r="D998" s="117"/>
    </row>
    <row r="999" spans="4:4">
      <c r="D999" s="117"/>
    </row>
    <row r="1000" spans="4:4">
      <c r="D1000" s="11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000"/>
  <sheetViews>
    <sheetView workbookViewId="0"/>
  </sheetViews>
  <sheetFormatPr baseColWidth="10" defaultColWidth="12.5703125" defaultRowHeight="15" customHeight="1"/>
  <cols>
    <col min="1" max="1" width="38.5703125" customWidth="1"/>
    <col min="2" max="2" width="30.85546875" customWidth="1"/>
    <col min="3" max="3" width="38.5703125" customWidth="1"/>
    <col min="4" max="4" width="10.5703125" customWidth="1"/>
    <col min="5" max="5" width="50.85546875" customWidth="1"/>
    <col min="6" max="6" width="38.5703125" customWidth="1"/>
    <col min="7" max="7" width="27.42578125" customWidth="1"/>
    <col min="8" max="26" width="10.5703125" customWidth="1"/>
  </cols>
  <sheetData>
    <row r="1" spans="1:3" ht="14.25" customHeight="1"/>
    <row r="2" spans="1:3" ht="14.25" customHeight="1"/>
    <row r="3" spans="1:3" ht="14.25" customHeight="1"/>
    <row r="4" spans="1:3" ht="14.25" customHeight="1"/>
    <row r="5" spans="1:3" ht="14.25" customHeight="1">
      <c r="A5" s="118" t="s">
        <v>1646</v>
      </c>
      <c r="B5" s="118" t="s">
        <v>1647</v>
      </c>
      <c r="C5" s="118" t="s">
        <v>1648</v>
      </c>
    </row>
    <row r="6" spans="1:3" ht="14.25" customHeight="1">
      <c r="A6" s="123" t="s">
        <v>445</v>
      </c>
      <c r="B6" s="104">
        <v>7</v>
      </c>
      <c r="C6" s="119">
        <v>1118440892</v>
      </c>
    </row>
    <row r="7" spans="1:3" ht="14.25" customHeight="1">
      <c r="A7" s="123" t="s">
        <v>83</v>
      </c>
      <c r="B7" s="104">
        <v>19</v>
      </c>
      <c r="C7" s="119">
        <v>1125388262</v>
      </c>
    </row>
    <row r="8" spans="1:3" ht="14.25" customHeight="1">
      <c r="A8" s="123" t="s">
        <v>145</v>
      </c>
      <c r="B8" s="104">
        <v>16</v>
      </c>
      <c r="C8" s="119">
        <v>1491229086</v>
      </c>
    </row>
    <row r="9" spans="1:3" ht="14.25" customHeight="1">
      <c r="A9" s="123" t="s">
        <v>224</v>
      </c>
      <c r="B9" s="104">
        <v>2</v>
      </c>
      <c r="C9" s="119">
        <v>154269639</v>
      </c>
    </row>
    <row r="10" spans="1:3" ht="14.25" customHeight="1">
      <c r="A10" s="123" t="s">
        <v>275</v>
      </c>
      <c r="B10" s="104">
        <v>1</v>
      </c>
      <c r="C10" s="119">
        <v>7000000</v>
      </c>
    </row>
    <row r="11" spans="1:3" ht="14.25" customHeight="1">
      <c r="A11" s="123" t="s">
        <v>1649</v>
      </c>
      <c r="B11" s="104">
        <v>45</v>
      </c>
      <c r="C11" s="119">
        <v>3896327879</v>
      </c>
    </row>
    <row r="12" spans="1:3" ht="14.25" customHeight="1"/>
    <row r="13" spans="1:3" ht="14.25" customHeight="1"/>
    <row r="14" spans="1:3" ht="14.25" customHeight="1"/>
    <row r="15" spans="1:3" ht="14.25" customHeight="1"/>
    <row r="16" spans="1:3" ht="14.25" customHeight="1"/>
    <row r="17" spans="1:6" ht="14.25" customHeight="1"/>
    <row r="18" spans="1:6" ht="14.25" customHeight="1"/>
    <row r="19" spans="1:6" ht="14.25" customHeight="1"/>
    <row r="20" spans="1:6" ht="14.25" customHeight="1"/>
    <row r="21" spans="1:6" ht="14.25" customHeight="1"/>
    <row r="22" spans="1:6" ht="14.25" customHeight="1"/>
    <row r="23" spans="1:6" ht="14.25" customHeight="1"/>
    <row r="24" spans="1:6" ht="14.25" customHeight="1">
      <c r="A24" s="118" t="s">
        <v>1646</v>
      </c>
      <c r="B24" s="118" t="s">
        <v>1647</v>
      </c>
    </row>
    <row r="25" spans="1:6" ht="14.25" customHeight="1">
      <c r="A25" s="123" t="s">
        <v>59</v>
      </c>
      <c r="B25" s="104">
        <v>45</v>
      </c>
    </row>
    <row r="26" spans="1:6" ht="14.25" customHeight="1">
      <c r="E26" s="118" t="s">
        <v>1646</v>
      </c>
      <c r="F26" s="118" t="s">
        <v>1648</v>
      </c>
    </row>
    <row r="27" spans="1:6" ht="14.25" customHeight="1">
      <c r="E27" s="123" t="s">
        <v>445</v>
      </c>
      <c r="F27" s="119">
        <v>1118440892</v>
      </c>
    </row>
    <row r="28" spans="1:6" ht="14.25" customHeight="1">
      <c r="E28" s="123" t="s">
        <v>83</v>
      </c>
      <c r="F28" s="119">
        <v>1125388262</v>
      </c>
    </row>
    <row r="29" spans="1:6" ht="14.25" customHeight="1">
      <c r="E29" s="123" t="s">
        <v>145</v>
      </c>
      <c r="F29" s="119">
        <v>1491229086</v>
      </c>
    </row>
    <row r="30" spans="1:6" ht="14.25" customHeight="1">
      <c r="A30" s="118" t="s">
        <v>1646</v>
      </c>
      <c r="B30" s="118" t="s">
        <v>1647</v>
      </c>
      <c r="C30" s="118" t="s">
        <v>1648</v>
      </c>
      <c r="E30" s="123" t="s">
        <v>224</v>
      </c>
      <c r="F30" s="119">
        <v>154269639</v>
      </c>
    </row>
    <row r="31" spans="1:6" ht="14.25" customHeight="1">
      <c r="A31" s="123" t="s">
        <v>59</v>
      </c>
      <c r="B31" s="104">
        <v>45</v>
      </c>
      <c r="C31" s="119">
        <v>3896327879</v>
      </c>
      <c r="E31" s="123" t="s">
        <v>275</v>
      </c>
      <c r="F31" s="119">
        <v>7000000</v>
      </c>
    </row>
    <row r="32" spans="1:6" ht="14.25" customHeight="1">
      <c r="E32" s="123" t="s">
        <v>1649</v>
      </c>
      <c r="F32" s="119">
        <v>3896327879</v>
      </c>
    </row>
    <row r="33" spans="1:1" ht="14.25" customHeight="1"/>
    <row r="34" spans="1:1" ht="14.25" customHeight="1"/>
    <row r="35" spans="1:1" ht="14.25" customHeight="1"/>
    <row r="36" spans="1:1" ht="14.25" customHeight="1">
      <c r="A36" s="118" t="s">
        <v>1648</v>
      </c>
    </row>
    <row r="37" spans="1:1" ht="14.25" customHeight="1">
      <c r="A37" s="119">
        <v>3896327879</v>
      </c>
    </row>
    <row r="38" spans="1:1" ht="14.25" customHeight="1"/>
    <row r="39" spans="1:1" ht="14.25" customHeight="1"/>
    <row r="40" spans="1:1" ht="14.25" customHeight="1"/>
    <row r="41" spans="1:1" ht="14.25" customHeight="1"/>
    <row r="42" spans="1:1" ht="14.25" customHeight="1"/>
    <row r="43" spans="1:1" ht="14.25" customHeight="1"/>
    <row r="44" spans="1:1" ht="14.25" customHeight="1"/>
    <row r="45" spans="1:1" ht="14.25" customHeight="1"/>
    <row r="46" spans="1:1" ht="14.25" customHeight="1"/>
    <row r="47" spans="1:1" ht="14.25" customHeight="1"/>
    <row r="48" spans="1:1" ht="14.25" customHeight="1"/>
    <row r="49" spans="7:7" ht="14.25" customHeight="1"/>
    <row r="50" spans="7:7" ht="14.25" customHeight="1">
      <c r="G50" s="118"/>
    </row>
    <row r="51" spans="7:7" ht="14.25" customHeight="1">
      <c r="G51" s="119"/>
    </row>
    <row r="52" spans="7:7" ht="14.25" customHeight="1"/>
    <row r="53" spans="7:7" ht="14.25" customHeight="1"/>
    <row r="54" spans="7:7" ht="14.25" customHeight="1"/>
    <row r="55" spans="7:7" ht="14.25" customHeight="1"/>
    <row r="56" spans="7:7" ht="14.25" customHeight="1"/>
    <row r="57" spans="7:7" ht="14.25" customHeight="1"/>
    <row r="58" spans="7:7" ht="14.25" customHeight="1"/>
    <row r="59" spans="7:7" ht="14.25" customHeight="1"/>
    <row r="60" spans="7:7" ht="14.25" customHeight="1"/>
    <row r="61" spans="7:7" ht="14.25" customHeight="1"/>
    <row r="62" spans="7:7" ht="14.25" customHeight="1"/>
    <row r="63" spans="7:7" ht="14.25" customHeight="1"/>
    <row r="64" spans="7:7"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Z1000"/>
  <sheetViews>
    <sheetView showGridLines="0" workbookViewId="0"/>
  </sheetViews>
  <sheetFormatPr baseColWidth="10" defaultColWidth="12.5703125" defaultRowHeight="15" customHeight="1"/>
  <cols>
    <col min="1" max="1" width="27.85546875" customWidth="1"/>
    <col min="2" max="12" width="16.5703125" customWidth="1"/>
    <col min="13" max="13" width="19.42578125" customWidth="1"/>
    <col min="14" max="26" width="16.5703125" customWidth="1"/>
  </cols>
  <sheetData>
    <row r="1" spans="1:26">
      <c r="A1" s="124" t="s">
        <v>1</v>
      </c>
      <c r="B1" s="125" t="s">
        <v>1650</v>
      </c>
      <c r="C1" s="125" t="s">
        <v>1651</v>
      </c>
      <c r="D1" s="125" t="s">
        <v>1652</v>
      </c>
      <c r="E1" s="125" t="s">
        <v>1653</v>
      </c>
      <c r="F1" s="125" t="s">
        <v>1654</v>
      </c>
      <c r="G1" s="125" t="s">
        <v>1655</v>
      </c>
      <c r="H1" s="125" t="s">
        <v>1656</v>
      </c>
      <c r="I1" s="125" t="s">
        <v>1657</v>
      </c>
      <c r="J1" s="125" t="s">
        <v>1658</v>
      </c>
      <c r="K1" s="125" t="s">
        <v>1659</v>
      </c>
      <c r="L1" s="125" t="s">
        <v>1660</v>
      </c>
      <c r="M1" s="125" t="s">
        <v>1661</v>
      </c>
      <c r="N1" s="124"/>
      <c r="O1" s="124"/>
      <c r="P1" s="124"/>
      <c r="Q1" s="124"/>
      <c r="R1" s="124"/>
      <c r="S1" s="124"/>
      <c r="T1" s="124"/>
      <c r="U1" s="124"/>
      <c r="V1" s="124"/>
      <c r="W1" s="124"/>
      <c r="X1" s="124"/>
      <c r="Y1" s="124"/>
      <c r="Z1" s="124"/>
    </row>
    <row r="2" spans="1:26">
      <c r="A2" s="116" t="s">
        <v>1142</v>
      </c>
      <c r="B2" s="126">
        <v>907540516</v>
      </c>
      <c r="C2" s="126">
        <v>1020205983</v>
      </c>
      <c r="D2" s="126">
        <v>502628778</v>
      </c>
      <c r="E2" s="126">
        <v>395891229</v>
      </c>
      <c r="F2" s="126">
        <v>32792439</v>
      </c>
      <c r="G2" s="126">
        <v>-10219500</v>
      </c>
      <c r="H2" s="126">
        <v>43000318</v>
      </c>
      <c r="I2" s="126">
        <v>230752063</v>
      </c>
      <c r="J2" s="126">
        <v>1434602</v>
      </c>
      <c r="K2" s="126">
        <v>249252846</v>
      </c>
      <c r="L2" s="126">
        <v>10000000</v>
      </c>
      <c r="M2" s="126">
        <v>10972341</v>
      </c>
    </row>
    <row r="3" spans="1:26">
      <c r="A3" s="116" t="s">
        <v>187</v>
      </c>
      <c r="B3" s="126">
        <v>455336900</v>
      </c>
      <c r="C3" s="126">
        <v>125547240</v>
      </c>
      <c r="D3" s="126">
        <v>29680312</v>
      </c>
      <c r="E3" s="126">
        <v>192000000</v>
      </c>
      <c r="F3" s="126">
        <v>-547575</v>
      </c>
      <c r="G3" s="126">
        <v>0</v>
      </c>
      <c r="H3" s="126">
        <v>-53400000</v>
      </c>
      <c r="I3" s="126">
        <v>32000000</v>
      </c>
      <c r="J3" s="126">
        <v>75016667</v>
      </c>
      <c r="K3" s="126">
        <v>15942694</v>
      </c>
      <c r="L3" s="126">
        <v>157479906</v>
      </c>
      <c r="M3" s="126">
        <v>4000000</v>
      </c>
    </row>
    <row r="4" spans="1:26">
      <c r="A4" s="116" t="s">
        <v>268</v>
      </c>
      <c r="B4" s="126">
        <v>461908100</v>
      </c>
      <c r="C4" s="126">
        <v>24138850</v>
      </c>
      <c r="D4" s="126">
        <v>3675000</v>
      </c>
      <c r="E4" s="126">
        <v>88061237</v>
      </c>
      <c r="F4" s="126">
        <v>34838250</v>
      </c>
      <c r="G4" s="126">
        <v>49220000</v>
      </c>
      <c r="H4" s="126">
        <v>58795510</v>
      </c>
      <c r="I4" s="126">
        <v>212138096</v>
      </c>
      <c r="J4" s="126">
        <v>48570089</v>
      </c>
      <c r="K4" s="126">
        <v>116812704</v>
      </c>
      <c r="L4" s="126">
        <v>357650526</v>
      </c>
      <c r="M4" s="126">
        <v>7941638</v>
      </c>
    </row>
    <row r="5" spans="1:26">
      <c r="A5" s="116" t="s">
        <v>371</v>
      </c>
      <c r="B5" s="126">
        <v>1108204921</v>
      </c>
      <c r="C5" s="126">
        <v>45634092</v>
      </c>
      <c r="D5" s="126">
        <v>675808222</v>
      </c>
      <c r="E5" s="126">
        <v>199832164</v>
      </c>
      <c r="F5" s="126">
        <v>59512996</v>
      </c>
      <c r="G5" s="126">
        <v>145537494</v>
      </c>
      <c r="H5" s="126">
        <v>33000000</v>
      </c>
      <c r="I5" s="126">
        <v>19674000</v>
      </c>
      <c r="J5" s="126">
        <v>129352497</v>
      </c>
      <c r="K5" s="126">
        <v>1101678828</v>
      </c>
      <c r="L5" s="126">
        <v>337284195</v>
      </c>
      <c r="M5" s="126">
        <v>0</v>
      </c>
    </row>
    <row r="6" spans="1:26">
      <c r="A6" s="116" t="s">
        <v>60</v>
      </c>
      <c r="B6" s="126">
        <v>459026663</v>
      </c>
      <c r="C6" s="126">
        <v>52680500</v>
      </c>
      <c r="D6" s="126">
        <v>391327258</v>
      </c>
      <c r="E6" s="126">
        <v>0</v>
      </c>
      <c r="F6" s="126">
        <v>0</v>
      </c>
      <c r="G6" s="126">
        <v>0</v>
      </c>
      <c r="H6" s="126">
        <v>0</v>
      </c>
      <c r="I6" s="126">
        <v>108158710</v>
      </c>
      <c r="J6" s="126">
        <v>39538090</v>
      </c>
      <c r="K6" s="126">
        <v>117352664</v>
      </c>
      <c r="L6" s="126">
        <v>17200000</v>
      </c>
      <c r="M6" s="126">
        <v>53015428</v>
      </c>
    </row>
    <row r="7" spans="1:26">
      <c r="A7" s="116" t="s">
        <v>1057</v>
      </c>
      <c r="B7" s="126">
        <v>990158134</v>
      </c>
      <c r="C7" s="126">
        <v>260348875</v>
      </c>
      <c r="D7" s="126">
        <v>-65701</v>
      </c>
      <c r="E7" s="126">
        <v>298790603</v>
      </c>
      <c r="F7" s="126">
        <v>52504838</v>
      </c>
      <c r="G7" s="126">
        <v>19288718</v>
      </c>
      <c r="H7" s="126">
        <v>1190820000</v>
      </c>
      <c r="I7" s="126">
        <v>0</v>
      </c>
      <c r="J7" s="126">
        <v>340754680</v>
      </c>
      <c r="K7" s="126">
        <v>845992991</v>
      </c>
      <c r="L7" s="126">
        <v>1500000</v>
      </c>
      <c r="M7" s="126">
        <v>32069988</v>
      </c>
    </row>
    <row r="8" spans="1:26">
      <c r="A8" s="116" t="s">
        <v>523</v>
      </c>
      <c r="B8" s="126">
        <v>1505126347.4000001</v>
      </c>
      <c r="C8" s="126">
        <v>1268617696</v>
      </c>
      <c r="D8" s="126">
        <v>163396676</v>
      </c>
      <c r="E8" s="126">
        <v>925264772</v>
      </c>
      <c r="F8" s="126">
        <v>9332560</v>
      </c>
      <c r="G8" s="126">
        <v>45894918</v>
      </c>
      <c r="H8" s="126">
        <v>207735653</v>
      </c>
      <c r="I8" s="126">
        <v>-61001221.469999999</v>
      </c>
      <c r="J8" s="126">
        <v>184778163</v>
      </c>
      <c r="K8" s="126">
        <v>576179167</v>
      </c>
      <c r="L8" s="126">
        <v>933242136</v>
      </c>
      <c r="M8" s="126">
        <v>21189550</v>
      </c>
    </row>
    <row r="9" spans="1:26">
      <c r="A9" s="116" t="s">
        <v>804</v>
      </c>
      <c r="B9" s="126">
        <v>955352899</v>
      </c>
      <c r="C9" s="126">
        <v>799727130</v>
      </c>
      <c r="D9" s="126">
        <v>-10469661</v>
      </c>
      <c r="E9" s="126">
        <v>48509932</v>
      </c>
      <c r="F9" s="126">
        <v>0</v>
      </c>
      <c r="G9" s="126">
        <v>63037825</v>
      </c>
      <c r="H9" s="126">
        <v>63491022</v>
      </c>
      <c r="I9" s="126">
        <v>55520452</v>
      </c>
      <c r="J9" s="126">
        <v>32636866</v>
      </c>
      <c r="K9" s="126">
        <v>92659552</v>
      </c>
      <c r="L9" s="126">
        <v>0</v>
      </c>
      <c r="M9" s="126">
        <v>4775582</v>
      </c>
    </row>
    <row r="10" spans="1:26">
      <c r="A10" s="116" t="s">
        <v>958</v>
      </c>
      <c r="B10" s="126">
        <v>1018635862</v>
      </c>
      <c r="C10" s="126">
        <v>319421455</v>
      </c>
      <c r="D10" s="126">
        <v>83656080</v>
      </c>
      <c r="E10" s="126">
        <v>-3109383</v>
      </c>
      <c r="F10" s="126">
        <v>2624892</v>
      </c>
      <c r="G10" s="126">
        <v>-55383742</v>
      </c>
      <c r="H10" s="126">
        <v>52134390</v>
      </c>
      <c r="I10" s="126">
        <v>0</v>
      </c>
      <c r="J10" s="126">
        <v>127837220</v>
      </c>
      <c r="K10" s="126">
        <v>162673311</v>
      </c>
      <c r="L10" s="126">
        <v>1038173251</v>
      </c>
      <c r="M10" s="126">
        <v>12286354</v>
      </c>
    </row>
    <row r="11" spans="1:26">
      <c r="A11" s="116" t="s">
        <v>712</v>
      </c>
      <c r="B11" s="126">
        <v>395918574</v>
      </c>
      <c r="C11" s="126">
        <v>294202014</v>
      </c>
      <c r="D11" s="126">
        <v>264122940</v>
      </c>
      <c r="E11" s="126">
        <v>390000000</v>
      </c>
      <c r="F11" s="126">
        <v>120926026</v>
      </c>
      <c r="G11" s="126">
        <v>18657202</v>
      </c>
      <c r="H11" s="126">
        <v>-46437470.25</v>
      </c>
      <c r="I11" s="126">
        <v>18186328</v>
      </c>
      <c r="J11" s="126">
        <v>5869900</v>
      </c>
      <c r="K11" s="126">
        <v>485694880</v>
      </c>
      <c r="L11" s="126">
        <v>0</v>
      </c>
      <c r="M11" s="126">
        <v>46859606</v>
      </c>
    </row>
    <row r="12" spans="1:26">
      <c r="A12" s="116" t="s">
        <v>1643</v>
      </c>
      <c r="B12" s="126">
        <v>8257208916.3999996</v>
      </c>
      <c r="C12" s="126">
        <v>4210523835</v>
      </c>
      <c r="D12" s="126">
        <v>2103759904</v>
      </c>
      <c r="E12" s="126">
        <v>2535240554</v>
      </c>
      <c r="F12" s="126">
        <v>311984426</v>
      </c>
      <c r="G12" s="126">
        <v>276032915</v>
      </c>
      <c r="H12" s="126">
        <v>1549139422.75</v>
      </c>
      <c r="I12" s="126">
        <v>615428427.52999997</v>
      </c>
      <c r="J12" s="126">
        <v>985788774</v>
      </c>
      <c r="K12" s="126">
        <v>3764239637</v>
      </c>
      <c r="L12" s="126">
        <v>2852530014</v>
      </c>
      <c r="M12" s="126">
        <v>193110487</v>
      </c>
    </row>
    <row r="13" spans="1:26">
      <c r="B13" s="126"/>
      <c r="C13" s="126"/>
      <c r="D13" s="126"/>
      <c r="E13" s="126"/>
      <c r="F13" s="126"/>
      <c r="G13" s="126"/>
      <c r="H13" s="126"/>
      <c r="I13" s="126"/>
      <c r="J13" s="126"/>
      <c r="K13" s="126"/>
      <c r="L13" s="126"/>
      <c r="M13" s="127" t="s">
        <v>1662</v>
      </c>
      <c r="N13" s="128">
        <f>SUM(B12:M12)</f>
        <v>27654987312.68</v>
      </c>
    </row>
    <row r="14" spans="1:26">
      <c r="B14" s="126"/>
      <c r="C14" s="126"/>
      <c r="D14" s="126"/>
      <c r="E14" s="126"/>
      <c r="F14" s="126"/>
      <c r="G14" s="126"/>
      <c r="H14" s="126"/>
      <c r="I14" s="126"/>
      <c r="J14" s="126"/>
      <c r="K14" s="126"/>
      <c r="L14" s="126"/>
      <c r="M14" s="127" t="s">
        <v>1663</v>
      </c>
      <c r="N14" s="129">
        <v>28045831271</v>
      </c>
    </row>
    <row r="15" spans="1:26">
      <c r="B15" s="126"/>
      <c r="C15" s="126"/>
      <c r="D15" s="126"/>
      <c r="E15" s="126"/>
      <c r="F15" s="126"/>
      <c r="G15" s="126"/>
      <c r="H15" s="126"/>
      <c r="I15" s="126"/>
      <c r="J15" s="126"/>
      <c r="K15" s="126"/>
      <c r="L15" s="126"/>
      <c r="M15" s="127" t="s">
        <v>1664</v>
      </c>
      <c r="N15" s="130">
        <f>N14-N13</f>
        <v>390843958.31999969</v>
      </c>
    </row>
    <row r="16" spans="1:26">
      <c r="A16" s="141" t="s">
        <v>0</v>
      </c>
      <c r="B16" s="142" t="s">
        <v>59</v>
      </c>
      <c r="C16" s="126"/>
      <c r="D16" s="126"/>
      <c r="E16" s="126"/>
      <c r="F16" s="126"/>
      <c r="G16" s="126"/>
      <c r="H16" s="126"/>
      <c r="I16" s="126"/>
      <c r="J16" s="126"/>
      <c r="K16" s="126"/>
      <c r="L16" s="126"/>
      <c r="M16" s="126"/>
    </row>
    <row r="17" spans="1:26">
      <c r="B17" s="126"/>
      <c r="C17" s="126"/>
      <c r="D17" s="126"/>
      <c r="E17" s="126"/>
      <c r="F17" s="126"/>
      <c r="G17" s="126"/>
      <c r="H17" s="126"/>
      <c r="I17" s="126"/>
      <c r="J17" s="126"/>
      <c r="K17" s="126"/>
      <c r="L17" s="126"/>
      <c r="M17" s="126"/>
    </row>
    <row r="18" spans="1:26">
      <c r="A18" s="133"/>
      <c r="B18" s="134" t="s">
        <v>1665</v>
      </c>
      <c r="C18" s="135"/>
      <c r="D18" s="135"/>
      <c r="E18" s="135"/>
      <c r="F18" s="135"/>
      <c r="G18" s="135"/>
      <c r="H18" s="135"/>
      <c r="I18" s="135"/>
      <c r="J18" s="135"/>
      <c r="K18" s="135"/>
      <c r="L18" s="135"/>
      <c r="M18" s="136"/>
      <c r="N18" s="124"/>
      <c r="O18" s="124"/>
      <c r="P18" s="124"/>
      <c r="Q18" s="124"/>
      <c r="R18" s="124"/>
      <c r="S18" s="124"/>
      <c r="T18" s="124"/>
      <c r="U18" s="124"/>
      <c r="V18" s="124"/>
      <c r="W18" s="124"/>
      <c r="X18" s="124"/>
      <c r="Y18" s="124"/>
      <c r="Z18" s="124"/>
    </row>
    <row r="19" spans="1:26">
      <c r="A19" s="134" t="s">
        <v>1</v>
      </c>
      <c r="B19" s="133" t="s">
        <v>1666</v>
      </c>
      <c r="C19" s="137" t="s">
        <v>1667</v>
      </c>
      <c r="D19" s="137" t="s">
        <v>1668</v>
      </c>
      <c r="E19" s="137" t="s">
        <v>1669</v>
      </c>
      <c r="F19" s="137" t="s">
        <v>1670</v>
      </c>
      <c r="G19" s="137" t="s">
        <v>1671</v>
      </c>
      <c r="H19" s="137" t="s">
        <v>1672</v>
      </c>
      <c r="I19" s="137" t="s">
        <v>1673</v>
      </c>
      <c r="J19" s="137" t="s">
        <v>1674</v>
      </c>
      <c r="K19" s="137" t="s">
        <v>1675</v>
      </c>
      <c r="L19" s="137" t="s">
        <v>1676</v>
      </c>
      <c r="M19" s="138" t="s">
        <v>1677</v>
      </c>
    </row>
    <row r="20" spans="1:26">
      <c r="A20" s="133" t="s">
        <v>1142</v>
      </c>
      <c r="B20" s="233"/>
      <c r="C20" s="234">
        <v>36186483.670000002</v>
      </c>
      <c r="D20" s="234">
        <v>147285619</v>
      </c>
      <c r="E20" s="234">
        <v>221921609</v>
      </c>
      <c r="F20" s="234">
        <v>304436654</v>
      </c>
      <c r="G20" s="234">
        <v>279282129</v>
      </c>
      <c r="H20" s="234">
        <v>289077511</v>
      </c>
      <c r="I20" s="234">
        <v>286885716</v>
      </c>
      <c r="J20" s="234">
        <v>288371846</v>
      </c>
      <c r="K20" s="234">
        <v>338827204</v>
      </c>
      <c r="L20" s="234">
        <v>452792090.5</v>
      </c>
      <c r="M20" s="235">
        <v>717456884.83000004</v>
      </c>
    </row>
    <row r="21" spans="1:26">
      <c r="A21" s="139" t="s">
        <v>187</v>
      </c>
      <c r="B21" s="236"/>
      <c r="C21" s="237">
        <v>15100000</v>
      </c>
      <c r="D21" s="237">
        <v>45152427</v>
      </c>
      <c r="E21" s="237">
        <v>49189412</v>
      </c>
      <c r="F21" s="237">
        <v>51580150</v>
      </c>
      <c r="G21" s="237">
        <v>43258317</v>
      </c>
      <c r="H21" s="237">
        <v>50580150</v>
      </c>
      <c r="I21" s="237">
        <v>107580150</v>
      </c>
      <c r="J21" s="237">
        <v>59580150</v>
      </c>
      <c r="K21" s="237">
        <v>119777725</v>
      </c>
      <c r="L21" s="237">
        <v>230869618</v>
      </c>
      <c r="M21" s="238">
        <v>260388045</v>
      </c>
    </row>
    <row r="22" spans="1:26">
      <c r="A22" s="139" t="s">
        <v>268</v>
      </c>
      <c r="B22" s="236"/>
      <c r="C22" s="237">
        <v>26789429</v>
      </c>
      <c r="D22" s="237">
        <v>77537520</v>
      </c>
      <c r="E22" s="237">
        <v>84019038</v>
      </c>
      <c r="F22" s="237">
        <v>80465325</v>
      </c>
      <c r="G22" s="237">
        <v>74166200</v>
      </c>
      <c r="H22" s="237">
        <v>78326686</v>
      </c>
      <c r="I22" s="237">
        <v>87831045</v>
      </c>
      <c r="J22" s="237">
        <v>82595264</v>
      </c>
      <c r="K22" s="237">
        <v>101659744</v>
      </c>
      <c r="L22" s="237">
        <v>243024241</v>
      </c>
      <c r="M22" s="238">
        <v>553585508</v>
      </c>
    </row>
    <row r="23" spans="1:26">
      <c r="A23" s="139" t="s">
        <v>371</v>
      </c>
      <c r="B23" s="236"/>
      <c r="C23" s="237">
        <v>33873623.43</v>
      </c>
      <c r="D23" s="237">
        <v>118651066</v>
      </c>
      <c r="E23" s="237">
        <v>110474466</v>
      </c>
      <c r="F23" s="237">
        <v>535074416.13</v>
      </c>
      <c r="G23" s="237">
        <v>164816796</v>
      </c>
      <c r="H23" s="237">
        <v>270942656</v>
      </c>
      <c r="I23" s="237">
        <v>319916280.36000001</v>
      </c>
      <c r="J23" s="237">
        <v>114117801</v>
      </c>
      <c r="K23" s="237">
        <v>122606158</v>
      </c>
      <c r="L23" s="237">
        <v>135216942</v>
      </c>
      <c r="M23" s="238">
        <v>1929829204.0800002</v>
      </c>
    </row>
    <row r="24" spans="1:26">
      <c r="A24" s="139" t="s">
        <v>60</v>
      </c>
      <c r="B24" s="236"/>
      <c r="C24" s="237">
        <v>34576005</v>
      </c>
      <c r="D24" s="237">
        <v>64486762</v>
      </c>
      <c r="E24" s="237">
        <v>83977694</v>
      </c>
      <c r="F24" s="237">
        <v>94006762</v>
      </c>
      <c r="G24" s="237">
        <v>90807262</v>
      </c>
      <c r="H24" s="237">
        <v>65818762</v>
      </c>
      <c r="I24" s="237">
        <v>91066762</v>
      </c>
      <c r="J24" s="237">
        <v>84503368</v>
      </c>
      <c r="K24" s="237">
        <v>153630756</v>
      </c>
      <c r="L24" s="237">
        <v>204976614</v>
      </c>
      <c r="M24" s="238">
        <v>270448566</v>
      </c>
    </row>
    <row r="25" spans="1:26">
      <c r="A25" s="139" t="s">
        <v>1057</v>
      </c>
      <c r="B25" s="236"/>
      <c r="C25" s="237">
        <v>27132648</v>
      </c>
      <c r="D25" s="237">
        <v>104714112</v>
      </c>
      <c r="E25" s="237">
        <v>112462422</v>
      </c>
      <c r="F25" s="237">
        <v>114556422</v>
      </c>
      <c r="G25" s="237">
        <v>203654088</v>
      </c>
      <c r="H25" s="237">
        <v>122232794</v>
      </c>
      <c r="I25" s="237">
        <v>118330424</v>
      </c>
      <c r="J25" s="237">
        <v>239378030</v>
      </c>
      <c r="K25" s="237">
        <v>1301771024</v>
      </c>
      <c r="L25" s="237">
        <v>425146629</v>
      </c>
      <c r="M25" s="238">
        <v>1262784533</v>
      </c>
    </row>
    <row r="26" spans="1:26">
      <c r="A26" s="139" t="s">
        <v>523</v>
      </c>
      <c r="B26" s="236">
        <v>1685912.4</v>
      </c>
      <c r="C26" s="237">
        <v>48177202</v>
      </c>
      <c r="D26" s="237">
        <v>253597835</v>
      </c>
      <c r="E26" s="237">
        <v>293666694</v>
      </c>
      <c r="F26" s="237">
        <v>318036347</v>
      </c>
      <c r="G26" s="237">
        <v>309552740</v>
      </c>
      <c r="H26" s="237">
        <v>927870073.52999997</v>
      </c>
      <c r="I26" s="237">
        <v>336774665</v>
      </c>
      <c r="J26" s="237">
        <v>311337472</v>
      </c>
      <c r="K26" s="237">
        <v>731731224</v>
      </c>
      <c r="L26" s="237">
        <v>543942454.5</v>
      </c>
      <c r="M26" s="238">
        <v>1704113890.5</v>
      </c>
    </row>
    <row r="27" spans="1:26">
      <c r="A27" s="139" t="s">
        <v>804</v>
      </c>
      <c r="B27" s="236"/>
      <c r="C27" s="237">
        <v>34136921</v>
      </c>
      <c r="D27" s="237">
        <v>136653506.32999998</v>
      </c>
      <c r="E27" s="237">
        <v>159981529</v>
      </c>
      <c r="F27" s="237">
        <v>155285840</v>
      </c>
      <c r="G27" s="237">
        <v>162312289</v>
      </c>
      <c r="H27" s="237">
        <v>187807280</v>
      </c>
      <c r="I27" s="237">
        <v>160481742</v>
      </c>
      <c r="J27" s="237">
        <v>170278228</v>
      </c>
      <c r="K27" s="237">
        <v>192690043</v>
      </c>
      <c r="L27" s="237">
        <v>270806251</v>
      </c>
      <c r="M27" s="238">
        <v>475824635.66999996</v>
      </c>
    </row>
    <row r="28" spans="1:26">
      <c r="A28" s="139" t="s">
        <v>958</v>
      </c>
      <c r="B28" s="236"/>
      <c r="C28" s="237">
        <v>17624570</v>
      </c>
      <c r="D28" s="237">
        <v>119486878</v>
      </c>
      <c r="E28" s="237">
        <v>135337498</v>
      </c>
      <c r="F28" s="237">
        <v>135220624</v>
      </c>
      <c r="G28" s="237">
        <v>132351078</v>
      </c>
      <c r="H28" s="237">
        <v>109096790</v>
      </c>
      <c r="I28" s="237">
        <v>139339958</v>
      </c>
      <c r="J28" s="237">
        <v>136738217</v>
      </c>
      <c r="K28" s="237">
        <v>136479685</v>
      </c>
      <c r="L28" s="237">
        <v>229137492</v>
      </c>
      <c r="M28" s="238">
        <v>1454431643</v>
      </c>
    </row>
    <row r="29" spans="1:26">
      <c r="A29" s="139" t="s">
        <v>712</v>
      </c>
      <c r="B29" s="236"/>
      <c r="C29" s="237">
        <v>20893137</v>
      </c>
      <c r="D29" s="237">
        <v>62821671</v>
      </c>
      <c r="E29" s="237">
        <v>75466086</v>
      </c>
      <c r="F29" s="237">
        <v>305465882</v>
      </c>
      <c r="G29" s="237">
        <v>453371582.75</v>
      </c>
      <c r="H29" s="237">
        <v>83646656</v>
      </c>
      <c r="I29" s="237">
        <v>77315170</v>
      </c>
      <c r="J29" s="237">
        <v>83643163</v>
      </c>
      <c r="K29" s="237">
        <v>126874268</v>
      </c>
      <c r="L29" s="237">
        <v>284869276</v>
      </c>
      <c r="M29" s="238">
        <v>420914991</v>
      </c>
    </row>
    <row r="30" spans="1:26">
      <c r="A30" s="140" t="s">
        <v>1649</v>
      </c>
      <c r="B30" s="245">
        <v>1685912.4</v>
      </c>
      <c r="C30" s="246">
        <v>294490019.10000002</v>
      </c>
      <c r="D30" s="246">
        <v>1130387396.3299999</v>
      </c>
      <c r="E30" s="246">
        <v>1326496448</v>
      </c>
      <c r="F30" s="246">
        <v>2094128422.1300001</v>
      </c>
      <c r="G30" s="246">
        <v>1913572481.75</v>
      </c>
      <c r="H30" s="246">
        <v>2185399358.5299997</v>
      </c>
      <c r="I30" s="246">
        <v>1725521912.3600001</v>
      </c>
      <c r="J30" s="246">
        <v>1570543539</v>
      </c>
      <c r="K30" s="246">
        <v>3326047831</v>
      </c>
      <c r="L30" s="246">
        <v>3020781608</v>
      </c>
      <c r="M30" s="247">
        <v>9049777901.0799999</v>
      </c>
      <c r="N30" s="128">
        <f>SUM(B29:M29)</f>
        <v>1995281882.75</v>
      </c>
    </row>
    <row r="31" spans="1:26">
      <c r="B31" s="126"/>
      <c r="C31" s="126"/>
      <c r="D31" s="126"/>
      <c r="E31" s="126"/>
      <c r="F31" s="126"/>
      <c r="G31" s="126"/>
      <c r="H31" s="126"/>
      <c r="I31" s="126"/>
      <c r="J31" s="126"/>
      <c r="K31" s="126"/>
      <c r="L31" s="126"/>
      <c r="M31" s="127" t="s">
        <v>1663</v>
      </c>
      <c r="N31" s="129">
        <v>28045831271</v>
      </c>
    </row>
    <row r="32" spans="1:26">
      <c r="B32" s="126"/>
      <c r="C32" s="126"/>
      <c r="D32" s="126"/>
      <c r="E32" s="126"/>
      <c r="F32" s="126"/>
      <c r="G32" s="126"/>
      <c r="H32" s="126"/>
      <c r="I32" s="126"/>
      <c r="J32" s="126"/>
      <c r="K32" s="126"/>
      <c r="L32" s="126"/>
      <c r="M32" s="127" t="s">
        <v>1664</v>
      </c>
      <c r="N32" s="130">
        <f>N31-N30</f>
        <v>26050549388.25</v>
      </c>
    </row>
    <row r="33" spans="2:13">
      <c r="B33" s="126"/>
      <c r="C33" s="126"/>
      <c r="D33" s="126"/>
      <c r="E33" s="126"/>
      <c r="F33" s="126"/>
      <c r="G33" s="126"/>
      <c r="H33" s="126"/>
      <c r="I33" s="126"/>
      <c r="J33" s="126"/>
      <c r="K33" s="126"/>
      <c r="L33" s="126"/>
      <c r="M33" s="126"/>
    </row>
    <row r="34" spans="2:13">
      <c r="B34" s="126"/>
      <c r="C34" s="126"/>
      <c r="D34" s="126"/>
      <c r="E34" s="126"/>
      <c r="F34" s="126"/>
      <c r="G34" s="126"/>
      <c r="H34" s="126"/>
      <c r="I34" s="126"/>
      <c r="J34" s="126"/>
      <c r="K34" s="126"/>
      <c r="L34" s="126"/>
      <c r="M34" s="126"/>
    </row>
    <row r="35" spans="2:13">
      <c r="B35" s="126"/>
      <c r="C35" s="126"/>
      <c r="D35" s="126"/>
      <c r="E35" s="126"/>
      <c r="F35" s="126"/>
      <c r="G35" s="126"/>
      <c r="H35" s="126"/>
      <c r="I35" s="126"/>
      <c r="J35" s="126"/>
      <c r="K35" s="126"/>
      <c r="L35" s="126"/>
      <c r="M35" s="126"/>
    </row>
    <row r="36" spans="2:13">
      <c r="B36" s="126"/>
      <c r="C36" s="126"/>
      <c r="D36" s="126"/>
      <c r="E36" s="126"/>
      <c r="F36" s="126"/>
      <c r="G36" s="126"/>
      <c r="H36" s="126"/>
      <c r="I36" s="126"/>
      <c r="J36" s="126"/>
      <c r="K36" s="126"/>
      <c r="L36" s="126"/>
      <c r="M36" s="126"/>
    </row>
    <row r="37" spans="2:13">
      <c r="B37" s="126"/>
      <c r="C37" s="126"/>
      <c r="D37" s="126"/>
      <c r="E37" s="126"/>
      <c r="F37" s="126"/>
      <c r="G37" s="126"/>
      <c r="H37" s="126"/>
      <c r="I37" s="126"/>
      <c r="J37" s="126"/>
      <c r="K37" s="126"/>
      <c r="L37" s="126"/>
      <c r="M37" s="126"/>
    </row>
    <row r="38" spans="2:13">
      <c r="B38" s="126"/>
      <c r="C38" s="126"/>
      <c r="D38" s="126"/>
      <c r="E38" s="126"/>
      <c r="F38" s="126"/>
      <c r="G38" s="126"/>
      <c r="H38" s="126"/>
      <c r="I38" s="126"/>
      <c r="J38" s="126"/>
      <c r="K38" s="126"/>
      <c r="L38" s="126"/>
      <c r="M38" s="126"/>
    </row>
    <row r="39" spans="2:13">
      <c r="B39" s="126"/>
      <c r="C39" s="126"/>
      <c r="D39" s="126"/>
      <c r="E39" s="126"/>
      <c r="F39" s="126"/>
      <c r="G39" s="126"/>
      <c r="H39" s="126"/>
      <c r="I39" s="126"/>
      <c r="J39" s="126"/>
      <c r="K39" s="126"/>
      <c r="L39" s="126"/>
      <c r="M39" s="126"/>
    </row>
    <row r="40" spans="2:13">
      <c r="B40" s="126"/>
      <c r="C40" s="126"/>
      <c r="D40" s="126"/>
      <c r="E40" s="126"/>
      <c r="F40" s="126"/>
      <c r="G40" s="126"/>
      <c r="H40" s="126"/>
      <c r="I40" s="126"/>
      <c r="J40" s="126"/>
      <c r="K40" s="126"/>
      <c r="L40" s="126"/>
      <c r="M40" s="126"/>
    </row>
    <row r="41" spans="2:13">
      <c r="B41" s="126"/>
      <c r="C41" s="126"/>
      <c r="D41" s="126"/>
      <c r="E41" s="126"/>
      <c r="F41" s="126"/>
      <c r="G41" s="126"/>
      <c r="H41" s="126"/>
      <c r="I41" s="126"/>
      <c r="J41" s="126"/>
      <c r="K41" s="126"/>
      <c r="L41" s="126"/>
      <c r="M41" s="126"/>
    </row>
    <row r="42" spans="2:13">
      <c r="B42" s="126"/>
      <c r="C42" s="126"/>
      <c r="D42" s="126"/>
      <c r="E42" s="126"/>
      <c r="F42" s="126"/>
      <c r="G42" s="126"/>
      <c r="H42" s="126"/>
      <c r="I42" s="126"/>
      <c r="J42" s="126"/>
      <c r="K42" s="126"/>
      <c r="L42" s="126"/>
      <c r="M42" s="126"/>
    </row>
    <row r="43" spans="2:13">
      <c r="B43" s="126"/>
      <c r="C43" s="126"/>
      <c r="D43" s="126"/>
      <c r="E43" s="126"/>
      <c r="F43" s="126"/>
      <c r="G43" s="126"/>
      <c r="H43" s="126"/>
      <c r="I43" s="126"/>
      <c r="J43" s="126"/>
      <c r="K43" s="126"/>
      <c r="L43" s="126"/>
      <c r="M43" s="126"/>
    </row>
    <row r="44" spans="2:13">
      <c r="B44" s="126"/>
      <c r="C44" s="126"/>
      <c r="D44" s="126"/>
      <c r="E44" s="126"/>
      <c r="F44" s="126"/>
      <c r="G44" s="126"/>
      <c r="H44" s="126"/>
      <c r="I44" s="126"/>
      <c r="J44" s="126"/>
      <c r="K44" s="126"/>
      <c r="L44" s="126"/>
      <c r="M44" s="126"/>
    </row>
    <row r="45" spans="2:13">
      <c r="B45" s="126"/>
      <c r="C45" s="126"/>
      <c r="D45" s="126"/>
      <c r="E45" s="126"/>
      <c r="F45" s="126"/>
      <c r="G45" s="126"/>
      <c r="H45" s="126"/>
      <c r="I45" s="126"/>
      <c r="J45" s="126"/>
      <c r="K45" s="126"/>
      <c r="L45" s="126"/>
      <c r="M45" s="126"/>
    </row>
    <row r="46" spans="2:13">
      <c r="B46" s="126"/>
      <c r="C46" s="126"/>
      <c r="D46" s="126"/>
      <c r="E46" s="126"/>
      <c r="F46" s="126"/>
      <c r="G46" s="126"/>
      <c r="H46" s="126"/>
      <c r="I46" s="126"/>
      <c r="J46" s="126"/>
      <c r="K46" s="126"/>
      <c r="L46" s="126"/>
      <c r="M46" s="126"/>
    </row>
    <row r="47" spans="2:13">
      <c r="B47" s="126"/>
      <c r="C47" s="126"/>
      <c r="D47" s="126"/>
      <c r="E47" s="126"/>
      <c r="F47" s="126"/>
      <c r="G47" s="126"/>
      <c r="H47" s="126"/>
      <c r="I47" s="126"/>
      <c r="J47" s="126"/>
      <c r="K47" s="126"/>
      <c r="L47" s="126"/>
      <c r="M47" s="126"/>
    </row>
    <row r="48" spans="2:13">
      <c r="B48" s="126"/>
      <c r="C48" s="126"/>
      <c r="D48" s="126"/>
      <c r="E48" s="126"/>
      <c r="F48" s="126"/>
      <c r="G48" s="126"/>
      <c r="H48" s="126"/>
      <c r="I48" s="126"/>
      <c r="J48" s="126"/>
      <c r="K48" s="126"/>
      <c r="L48" s="126"/>
      <c r="M48" s="126"/>
    </row>
    <row r="49" spans="2:13">
      <c r="B49" s="126"/>
      <c r="C49" s="126"/>
      <c r="D49" s="126"/>
      <c r="E49" s="126"/>
      <c r="F49" s="126"/>
      <c r="G49" s="126"/>
      <c r="H49" s="126"/>
      <c r="I49" s="126"/>
      <c r="J49" s="126"/>
      <c r="K49" s="126"/>
      <c r="L49" s="126"/>
      <c r="M49" s="126"/>
    </row>
    <row r="50" spans="2:13">
      <c r="B50" s="126"/>
      <c r="C50" s="126"/>
      <c r="D50" s="126"/>
      <c r="E50" s="126"/>
      <c r="F50" s="126"/>
      <c r="G50" s="126"/>
      <c r="H50" s="126"/>
      <c r="I50" s="126"/>
      <c r="J50" s="126"/>
      <c r="K50" s="126"/>
      <c r="L50" s="126"/>
      <c r="M50" s="126"/>
    </row>
    <row r="51" spans="2:13">
      <c r="B51" s="126"/>
      <c r="C51" s="126"/>
      <c r="D51" s="126"/>
      <c r="E51" s="126"/>
      <c r="F51" s="126"/>
      <c r="G51" s="126"/>
      <c r="H51" s="126"/>
      <c r="I51" s="126"/>
      <c r="J51" s="126"/>
      <c r="K51" s="126"/>
      <c r="L51" s="126"/>
      <c r="M51" s="126"/>
    </row>
    <row r="52" spans="2:13">
      <c r="B52" s="126"/>
      <c r="C52" s="126"/>
      <c r="D52" s="126"/>
      <c r="E52" s="126"/>
      <c r="F52" s="126"/>
      <c r="G52" s="126"/>
      <c r="H52" s="126"/>
      <c r="I52" s="126"/>
      <c r="J52" s="126"/>
      <c r="K52" s="126"/>
      <c r="L52" s="126"/>
      <c r="M52" s="126"/>
    </row>
    <row r="53" spans="2:13">
      <c r="B53" s="126"/>
      <c r="C53" s="126"/>
      <c r="D53" s="126"/>
      <c r="E53" s="126"/>
      <c r="F53" s="126"/>
      <c r="G53" s="126"/>
      <c r="H53" s="126"/>
      <c r="I53" s="126"/>
      <c r="J53" s="126"/>
      <c r="K53" s="126"/>
      <c r="L53" s="126"/>
      <c r="M53" s="126"/>
    </row>
    <row r="54" spans="2:13">
      <c r="B54" s="126"/>
      <c r="C54" s="126"/>
      <c r="D54" s="126"/>
      <c r="E54" s="126"/>
      <c r="F54" s="126"/>
      <c r="G54" s="126"/>
      <c r="H54" s="126"/>
      <c r="I54" s="126"/>
      <c r="J54" s="126"/>
      <c r="K54" s="126"/>
      <c r="L54" s="126"/>
      <c r="M54" s="126"/>
    </row>
    <row r="55" spans="2:13">
      <c r="B55" s="126"/>
      <c r="C55" s="126"/>
      <c r="D55" s="126"/>
      <c r="E55" s="126"/>
      <c r="F55" s="126"/>
      <c r="G55" s="126"/>
      <c r="H55" s="126"/>
      <c r="I55" s="126"/>
      <c r="J55" s="126"/>
      <c r="K55" s="126"/>
      <c r="L55" s="126"/>
      <c r="M55" s="126"/>
    </row>
    <row r="56" spans="2:13">
      <c r="B56" s="126"/>
      <c r="C56" s="126"/>
      <c r="D56" s="126"/>
      <c r="E56" s="126"/>
      <c r="F56" s="126"/>
      <c r="G56" s="126"/>
      <c r="H56" s="126"/>
      <c r="I56" s="126"/>
      <c r="J56" s="126"/>
      <c r="K56" s="126"/>
      <c r="L56" s="126"/>
      <c r="M56" s="126"/>
    </row>
    <row r="57" spans="2:13">
      <c r="B57" s="126"/>
      <c r="C57" s="126"/>
      <c r="D57" s="126"/>
      <c r="E57" s="126"/>
      <c r="F57" s="126"/>
      <c r="G57" s="126"/>
      <c r="H57" s="126"/>
      <c r="I57" s="126"/>
      <c r="J57" s="126"/>
      <c r="K57" s="126"/>
      <c r="L57" s="126"/>
      <c r="M57" s="126"/>
    </row>
    <row r="58" spans="2:13">
      <c r="B58" s="126"/>
      <c r="C58" s="126"/>
      <c r="D58" s="126"/>
      <c r="E58" s="126"/>
      <c r="F58" s="126"/>
      <c r="G58" s="126"/>
      <c r="H58" s="126"/>
      <c r="I58" s="126"/>
      <c r="J58" s="126"/>
      <c r="K58" s="126"/>
      <c r="L58" s="126"/>
      <c r="M58" s="126"/>
    </row>
    <row r="59" spans="2:13">
      <c r="B59" s="126"/>
      <c r="C59" s="126"/>
      <c r="D59" s="126"/>
      <c r="E59" s="126"/>
      <c r="F59" s="126"/>
      <c r="G59" s="126"/>
      <c r="H59" s="126"/>
      <c r="I59" s="126"/>
      <c r="J59" s="126"/>
      <c r="K59" s="126"/>
      <c r="L59" s="126"/>
      <c r="M59" s="126"/>
    </row>
    <row r="60" spans="2:13">
      <c r="B60" s="126"/>
      <c r="C60" s="126"/>
      <c r="D60" s="126"/>
      <c r="E60" s="126"/>
      <c r="F60" s="126"/>
      <c r="G60" s="126"/>
      <c r="H60" s="126"/>
      <c r="I60" s="126"/>
      <c r="J60" s="126"/>
      <c r="K60" s="126"/>
      <c r="L60" s="126"/>
      <c r="M60" s="126"/>
    </row>
    <row r="61" spans="2:13">
      <c r="B61" s="126"/>
      <c r="C61" s="126"/>
      <c r="D61" s="126"/>
      <c r="E61" s="126"/>
      <c r="F61" s="126"/>
      <c r="G61" s="126"/>
      <c r="H61" s="126"/>
      <c r="I61" s="126"/>
      <c r="J61" s="126"/>
      <c r="K61" s="126"/>
      <c r="L61" s="126"/>
      <c r="M61" s="126"/>
    </row>
    <row r="62" spans="2:13">
      <c r="B62" s="126"/>
      <c r="C62" s="126"/>
      <c r="D62" s="126"/>
      <c r="E62" s="126"/>
      <c r="F62" s="126"/>
      <c r="G62" s="126"/>
      <c r="H62" s="126"/>
      <c r="I62" s="126"/>
      <c r="J62" s="126"/>
      <c r="K62" s="126"/>
      <c r="L62" s="126"/>
      <c r="M62" s="126"/>
    </row>
    <row r="63" spans="2:13">
      <c r="B63" s="126"/>
      <c r="C63" s="126"/>
      <c r="D63" s="126"/>
      <c r="E63" s="126"/>
      <c r="F63" s="126"/>
      <c r="G63" s="126"/>
      <c r="H63" s="126"/>
      <c r="I63" s="126"/>
      <c r="J63" s="126"/>
      <c r="K63" s="126"/>
      <c r="L63" s="126"/>
      <c r="M63" s="126"/>
    </row>
    <row r="64" spans="2:13">
      <c r="B64" s="126"/>
      <c r="C64" s="126"/>
      <c r="D64" s="126"/>
      <c r="E64" s="126"/>
      <c r="F64" s="126"/>
      <c r="G64" s="126"/>
      <c r="H64" s="126"/>
      <c r="I64" s="126"/>
      <c r="J64" s="126"/>
      <c r="K64" s="126"/>
      <c r="L64" s="126"/>
      <c r="M64" s="126"/>
    </row>
    <row r="65" spans="2:13">
      <c r="B65" s="126"/>
      <c r="C65" s="126"/>
      <c r="D65" s="126"/>
      <c r="E65" s="126"/>
      <c r="F65" s="126"/>
      <c r="G65" s="126"/>
      <c r="H65" s="126"/>
      <c r="I65" s="126"/>
      <c r="J65" s="126"/>
      <c r="K65" s="126"/>
      <c r="L65" s="126"/>
      <c r="M65" s="126"/>
    </row>
    <row r="66" spans="2:13">
      <c r="B66" s="126"/>
      <c r="C66" s="126"/>
      <c r="D66" s="126"/>
      <c r="E66" s="126"/>
      <c r="F66" s="126"/>
      <c r="G66" s="126"/>
      <c r="H66" s="126"/>
      <c r="I66" s="126"/>
      <c r="J66" s="126"/>
      <c r="K66" s="126"/>
      <c r="L66" s="126"/>
      <c r="M66" s="126"/>
    </row>
    <row r="67" spans="2:13">
      <c r="B67" s="126"/>
      <c r="C67" s="126"/>
      <c r="D67" s="126"/>
      <c r="E67" s="126"/>
      <c r="F67" s="126"/>
      <c r="G67" s="126"/>
      <c r="H67" s="126"/>
      <c r="I67" s="126"/>
      <c r="J67" s="126"/>
      <c r="K67" s="126"/>
      <c r="L67" s="126"/>
      <c r="M67" s="126"/>
    </row>
    <row r="68" spans="2:13">
      <c r="B68" s="126"/>
      <c r="C68" s="126"/>
      <c r="D68" s="126"/>
      <c r="E68" s="126"/>
      <c r="F68" s="126"/>
      <c r="G68" s="126"/>
      <c r="H68" s="126"/>
      <c r="I68" s="126"/>
      <c r="J68" s="126"/>
      <c r="K68" s="126"/>
      <c r="L68" s="126"/>
      <c r="M68" s="126"/>
    </row>
    <row r="69" spans="2:13">
      <c r="B69" s="126"/>
      <c r="C69" s="126"/>
      <c r="D69" s="126"/>
      <c r="E69" s="126"/>
      <c r="F69" s="126"/>
      <c r="G69" s="126"/>
      <c r="H69" s="126"/>
      <c r="I69" s="126"/>
      <c r="J69" s="126"/>
      <c r="K69" s="126"/>
      <c r="L69" s="126"/>
      <c r="M69" s="126"/>
    </row>
    <row r="70" spans="2:13">
      <c r="B70" s="126"/>
      <c r="C70" s="126"/>
      <c r="D70" s="126"/>
      <c r="E70" s="126"/>
      <c r="F70" s="126"/>
      <c r="G70" s="126"/>
      <c r="H70" s="126"/>
      <c r="I70" s="126"/>
      <c r="J70" s="126"/>
      <c r="K70" s="126"/>
      <c r="L70" s="126"/>
      <c r="M70" s="126"/>
    </row>
    <row r="71" spans="2:13">
      <c r="B71" s="126"/>
      <c r="C71" s="126"/>
      <c r="D71" s="126"/>
      <c r="E71" s="126"/>
      <c r="F71" s="126"/>
      <c r="G71" s="126"/>
      <c r="H71" s="126"/>
      <c r="I71" s="126"/>
      <c r="J71" s="126"/>
      <c r="K71" s="126"/>
      <c r="L71" s="126"/>
      <c r="M71" s="126"/>
    </row>
    <row r="72" spans="2:13">
      <c r="B72" s="126"/>
      <c r="C72" s="126"/>
      <c r="D72" s="126"/>
      <c r="E72" s="126"/>
      <c r="F72" s="126"/>
      <c r="G72" s="126"/>
      <c r="H72" s="126"/>
      <c r="I72" s="126"/>
      <c r="J72" s="126"/>
      <c r="K72" s="126"/>
      <c r="L72" s="126"/>
      <c r="M72" s="126"/>
    </row>
    <row r="73" spans="2:13">
      <c r="B73" s="126"/>
      <c r="C73" s="126"/>
      <c r="D73" s="126"/>
      <c r="E73" s="126"/>
      <c r="F73" s="126"/>
      <c r="G73" s="126"/>
      <c r="H73" s="126"/>
      <c r="I73" s="126"/>
      <c r="J73" s="126"/>
      <c r="K73" s="126"/>
      <c r="L73" s="126"/>
      <c r="M73" s="126"/>
    </row>
    <row r="74" spans="2:13">
      <c r="B74" s="126"/>
      <c r="C74" s="126"/>
      <c r="D74" s="126"/>
      <c r="E74" s="126"/>
      <c r="F74" s="126"/>
      <c r="G74" s="126"/>
      <c r="H74" s="126"/>
      <c r="I74" s="126"/>
      <c r="J74" s="126"/>
      <c r="K74" s="126"/>
      <c r="L74" s="126"/>
      <c r="M74" s="126"/>
    </row>
    <row r="75" spans="2:13">
      <c r="B75" s="126"/>
      <c r="C75" s="126"/>
      <c r="D75" s="126"/>
      <c r="E75" s="126"/>
      <c r="F75" s="126"/>
      <c r="G75" s="126"/>
      <c r="H75" s="126"/>
      <c r="I75" s="126"/>
      <c r="J75" s="126"/>
      <c r="K75" s="126"/>
      <c r="L75" s="126"/>
      <c r="M75" s="126"/>
    </row>
    <row r="76" spans="2:13">
      <c r="B76" s="126"/>
      <c r="C76" s="126"/>
      <c r="D76" s="126"/>
      <c r="E76" s="126"/>
      <c r="F76" s="126"/>
      <c r="G76" s="126"/>
      <c r="H76" s="126"/>
      <c r="I76" s="126"/>
      <c r="J76" s="126"/>
      <c r="K76" s="126"/>
      <c r="L76" s="126"/>
      <c r="M76" s="126"/>
    </row>
    <row r="77" spans="2:13">
      <c r="B77" s="126"/>
      <c r="C77" s="126"/>
      <c r="D77" s="126"/>
      <c r="E77" s="126"/>
      <c r="F77" s="126"/>
      <c r="G77" s="126"/>
      <c r="H77" s="126"/>
      <c r="I77" s="126"/>
      <c r="J77" s="126"/>
      <c r="K77" s="126"/>
      <c r="L77" s="126"/>
      <c r="M77" s="126"/>
    </row>
    <row r="78" spans="2:13">
      <c r="B78" s="126"/>
      <c r="C78" s="126"/>
      <c r="D78" s="126"/>
      <c r="E78" s="126"/>
      <c r="F78" s="126"/>
      <c r="G78" s="126"/>
      <c r="H78" s="126"/>
      <c r="I78" s="126"/>
      <c r="J78" s="126"/>
      <c r="K78" s="126"/>
      <c r="L78" s="126"/>
      <c r="M78" s="126"/>
    </row>
    <row r="79" spans="2:13">
      <c r="B79" s="126"/>
      <c r="C79" s="126"/>
      <c r="D79" s="126"/>
      <c r="E79" s="126"/>
      <c r="F79" s="126"/>
      <c r="G79" s="126"/>
      <c r="H79" s="126"/>
      <c r="I79" s="126"/>
      <c r="J79" s="126"/>
      <c r="K79" s="126"/>
      <c r="L79" s="126"/>
      <c r="M79" s="126"/>
    </row>
    <row r="80" spans="2:13">
      <c r="B80" s="126"/>
      <c r="C80" s="126"/>
      <c r="D80" s="126"/>
      <c r="E80" s="126"/>
      <c r="F80" s="126"/>
      <c r="G80" s="126"/>
      <c r="H80" s="126"/>
      <c r="I80" s="126"/>
      <c r="J80" s="126"/>
      <c r="K80" s="126"/>
      <c r="L80" s="126"/>
      <c r="M80" s="126"/>
    </row>
    <row r="81" spans="2:13">
      <c r="B81" s="126"/>
      <c r="C81" s="126"/>
      <c r="D81" s="126"/>
      <c r="E81" s="126"/>
      <c r="F81" s="126"/>
      <c r="G81" s="126"/>
      <c r="H81" s="126"/>
      <c r="I81" s="126"/>
      <c r="J81" s="126"/>
      <c r="K81" s="126"/>
      <c r="L81" s="126"/>
      <c r="M81" s="126"/>
    </row>
    <row r="82" spans="2:13">
      <c r="B82" s="126"/>
      <c r="C82" s="126"/>
      <c r="D82" s="126"/>
      <c r="E82" s="126"/>
      <c r="F82" s="126"/>
      <c r="G82" s="126"/>
      <c r="H82" s="126"/>
      <c r="I82" s="126"/>
      <c r="J82" s="126"/>
      <c r="K82" s="126"/>
      <c r="L82" s="126"/>
      <c r="M82" s="126"/>
    </row>
    <row r="83" spans="2:13">
      <c r="B83" s="126"/>
      <c r="C83" s="126"/>
      <c r="D83" s="126"/>
      <c r="E83" s="126"/>
      <c r="F83" s="126"/>
      <c r="G83" s="126"/>
      <c r="H83" s="126"/>
      <c r="I83" s="126"/>
      <c r="J83" s="126"/>
      <c r="K83" s="126"/>
      <c r="L83" s="126"/>
      <c r="M83" s="126"/>
    </row>
    <row r="84" spans="2:13">
      <c r="B84" s="126"/>
      <c r="C84" s="126"/>
      <c r="D84" s="126"/>
      <c r="E84" s="126"/>
      <c r="F84" s="126"/>
      <c r="G84" s="126"/>
      <c r="H84" s="126"/>
      <c r="I84" s="126"/>
      <c r="J84" s="126"/>
      <c r="K84" s="126"/>
      <c r="L84" s="126"/>
      <c r="M84" s="126"/>
    </row>
    <row r="85" spans="2:13">
      <c r="B85" s="126"/>
      <c r="C85" s="126"/>
      <c r="D85" s="126"/>
      <c r="E85" s="126"/>
      <c r="F85" s="126"/>
      <c r="G85" s="126"/>
      <c r="H85" s="126"/>
      <c r="I85" s="126"/>
      <c r="J85" s="126"/>
      <c r="K85" s="126"/>
      <c r="L85" s="126"/>
      <c r="M85" s="126"/>
    </row>
    <row r="86" spans="2:13">
      <c r="B86" s="126"/>
      <c r="C86" s="126"/>
      <c r="D86" s="126"/>
      <c r="E86" s="126"/>
      <c r="F86" s="126"/>
      <c r="G86" s="126"/>
      <c r="H86" s="126"/>
      <c r="I86" s="126"/>
      <c r="J86" s="126"/>
      <c r="K86" s="126"/>
      <c r="L86" s="126"/>
      <c r="M86" s="126"/>
    </row>
    <row r="87" spans="2:13">
      <c r="B87" s="126"/>
      <c r="C87" s="126"/>
      <c r="D87" s="126"/>
      <c r="E87" s="126"/>
      <c r="F87" s="126"/>
      <c r="G87" s="126"/>
      <c r="H87" s="126"/>
      <c r="I87" s="126"/>
      <c r="J87" s="126"/>
      <c r="K87" s="126"/>
      <c r="L87" s="126"/>
      <c r="M87" s="126"/>
    </row>
    <row r="88" spans="2:13">
      <c r="B88" s="126"/>
      <c r="C88" s="126"/>
      <c r="D88" s="126"/>
      <c r="E88" s="126"/>
      <c r="F88" s="126"/>
      <c r="G88" s="126"/>
      <c r="H88" s="126"/>
      <c r="I88" s="126"/>
      <c r="J88" s="126"/>
      <c r="K88" s="126"/>
      <c r="L88" s="126"/>
      <c r="M88" s="126"/>
    </row>
    <row r="89" spans="2:13">
      <c r="B89" s="126"/>
      <c r="C89" s="126"/>
      <c r="D89" s="126"/>
      <c r="E89" s="126"/>
      <c r="F89" s="126"/>
      <c r="G89" s="126"/>
      <c r="H89" s="126"/>
      <c r="I89" s="126"/>
      <c r="J89" s="126"/>
      <c r="K89" s="126"/>
      <c r="L89" s="126"/>
      <c r="M89" s="126"/>
    </row>
    <row r="90" spans="2:13">
      <c r="B90" s="126"/>
      <c r="C90" s="126"/>
      <c r="D90" s="126"/>
      <c r="E90" s="126"/>
      <c r="F90" s="126"/>
      <c r="G90" s="126"/>
      <c r="H90" s="126"/>
      <c r="I90" s="126"/>
      <c r="J90" s="126"/>
      <c r="K90" s="126"/>
      <c r="L90" s="126"/>
      <c r="M90" s="126"/>
    </row>
    <row r="91" spans="2:13">
      <c r="B91" s="126"/>
      <c r="C91" s="126"/>
      <c r="D91" s="126"/>
      <c r="E91" s="126"/>
      <c r="F91" s="126"/>
      <c r="G91" s="126"/>
      <c r="H91" s="126"/>
      <c r="I91" s="126"/>
      <c r="J91" s="126"/>
      <c r="K91" s="126"/>
      <c r="L91" s="126"/>
      <c r="M91" s="126"/>
    </row>
    <row r="92" spans="2:13">
      <c r="B92" s="126"/>
      <c r="C92" s="126"/>
      <c r="D92" s="126"/>
      <c r="E92" s="126"/>
      <c r="F92" s="126"/>
      <c r="G92" s="126"/>
      <c r="H92" s="126"/>
      <c r="I92" s="126"/>
      <c r="J92" s="126"/>
      <c r="K92" s="126"/>
      <c r="L92" s="126"/>
      <c r="M92" s="126"/>
    </row>
    <row r="93" spans="2:13">
      <c r="B93" s="126"/>
      <c r="C93" s="126"/>
      <c r="D93" s="126"/>
      <c r="E93" s="126"/>
      <c r="F93" s="126"/>
      <c r="G93" s="126"/>
      <c r="H93" s="126"/>
      <c r="I93" s="126"/>
      <c r="J93" s="126"/>
      <c r="K93" s="126"/>
      <c r="L93" s="126"/>
      <c r="M93" s="126"/>
    </row>
    <row r="94" spans="2:13">
      <c r="B94" s="126"/>
      <c r="C94" s="126"/>
      <c r="D94" s="126"/>
      <c r="E94" s="126"/>
      <c r="F94" s="126"/>
      <c r="G94" s="126"/>
      <c r="H94" s="126"/>
      <c r="I94" s="126"/>
      <c r="J94" s="126"/>
      <c r="K94" s="126"/>
      <c r="L94" s="126"/>
      <c r="M94" s="126"/>
    </row>
    <row r="95" spans="2:13">
      <c r="B95" s="126"/>
      <c r="C95" s="126"/>
      <c r="D95" s="126"/>
      <c r="E95" s="126"/>
      <c r="F95" s="126"/>
      <c r="G95" s="126"/>
      <c r="H95" s="126"/>
      <c r="I95" s="126"/>
      <c r="J95" s="126"/>
      <c r="K95" s="126"/>
      <c r="L95" s="126"/>
      <c r="M95" s="126"/>
    </row>
    <row r="96" spans="2:13">
      <c r="B96" s="126"/>
      <c r="C96" s="126"/>
      <c r="D96" s="126"/>
      <c r="E96" s="126"/>
      <c r="F96" s="126"/>
      <c r="G96" s="126"/>
      <c r="H96" s="126"/>
      <c r="I96" s="126"/>
      <c r="J96" s="126"/>
      <c r="K96" s="126"/>
      <c r="L96" s="126"/>
      <c r="M96" s="126"/>
    </row>
    <row r="97" spans="2:13">
      <c r="B97" s="126"/>
      <c r="C97" s="126"/>
      <c r="D97" s="126"/>
      <c r="E97" s="126"/>
      <c r="F97" s="126"/>
      <c r="G97" s="126"/>
      <c r="H97" s="126"/>
      <c r="I97" s="126"/>
      <c r="J97" s="126"/>
      <c r="K97" s="126"/>
      <c r="L97" s="126"/>
      <c r="M97" s="126"/>
    </row>
    <row r="98" spans="2:13">
      <c r="B98" s="126"/>
      <c r="C98" s="126"/>
      <c r="D98" s="126"/>
      <c r="E98" s="126"/>
      <c r="F98" s="126"/>
      <c r="G98" s="126"/>
      <c r="H98" s="126"/>
      <c r="I98" s="126"/>
      <c r="J98" s="126"/>
      <c r="K98" s="126"/>
      <c r="L98" s="126"/>
      <c r="M98" s="126"/>
    </row>
    <row r="99" spans="2:13">
      <c r="B99" s="126"/>
      <c r="C99" s="126"/>
      <c r="D99" s="126"/>
      <c r="E99" s="126"/>
      <c r="F99" s="126"/>
      <c r="G99" s="126"/>
      <c r="H99" s="126"/>
      <c r="I99" s="126"/>
      <c r="J99" s="126"/>
      <c r="K99" s="126"/>
      <c r="L99" s="126"/>
      <c r="M99" s="126"/>
    </row>
    <row r="100" spans="2:13">
      <c r="B100" s="126"/>
      <c r="C100" s="126"/>
      <c r="D100" s="126"/>
      <c r="E100" s="126"/>
      <c r="F100" s="126"/>
      <c r="G100" s="126"/>
      <c r="H100" s="126"/>
      <c r="I100" s="126"/>
      <c r="J100" s="126"/>
      <c r="K100" s="126"/>
      <c r="L100" s="126"/>
      <c r="M100" s="126"/>
    </row>
    <row r="101" spans="2:13">
      <c r="B101" s="126"/>
      <c r="C101" s="126"/>
      <c r="D101" s="126"/>
      <c r="E101" s="126"/>
      <c r="F101" s="126"/>
      <c r="G101" s="126"/>
      <c r="H101" s="126"/>
      <c r="I101" s="126"/>
      <c r="J101" s="126"/>
      <c r="K101" s="126"/>
      <c r="L101" s="126"/>
      <c r="M101" s="126"/>
    </row>
    <row r="102" spans="2:13">
      <c r="B102" s="126"/>
      <c r="C102" s="126"/>
      <c r="D102" s="126"/>
      <c r="E102" s="126"/>
      <c r="F102" s="126"/>
      <c r="G102" s="126"/>
      <c r="H102" s="126"/>
      <c r="I102" s="126"/>
      <c r="J102" s="126"/>
      <c r="K102" s="126"/>
      <c r="L102" s="126"/>
      <c r="M102" s="126"/>
    </row>
    <row r="103" spans="2:13">
      <c r="B103" s="126"/>
      <c r="C103" s="126"/>
      <c r="D103" s="126"/>
      <c r="E103" s="126"/>
      <c r="F103" s="126"/>
      <c r="G103" s="126"/>
      <c r="H103" s="126"/>
      <c r="I103" s="126"/>
      <c r="J103" s="126"/>
      <c r="K103" s="126"/>
      <c r="L103" s="126"/>
      <c r="M103" s="126"/>
    </row>
    <row r="104" spans="2:13">
      <c r="B104" s="126"/>
      <c r="C104" s="126"/>
      <c r="D104" s="126"/>
      <c r="E104" s="126"/>
      <c r="F104" s="126"/>
      <c r="G104" s="126"/>
      <c r="H104" s="126"/>
      <c r="I104" s="126"/>
      <c r="J104" s="126"/>
      <c r="K104" s="126"/>
      <c r="L104" s="126"/>
      <c r="M104" s="126"/>
    </row>
    <row r="105" spans="2:13">
      <c r="B105" s="126"/>
      <c r="C105" s="126"/>
      <c r="D105" s="126"/>
      <c r="E105" s="126"/>
      <c r="F105" s="126"/>
      <c r="G105" s="126"/>
      <c r="H105" s="126"/>
      <c r="I105" s="126"/>
      <c r="J105" s="126"/>
      <c r="K105" s="126"/>
      <c r="L105" s="126"/>
      <c r="M105" s="126"/>
    </row>
    <row r="106" spans="2:13">
      <c r="B106" s="126"/>
      <c r="C106" s="126"/>
      <c r="D106" s="126"/>
      <c r="E106" s="126"/>
      <c r="F106" s="126"/>
      <c r="G106" s="126"/>
      <c r="H106" s="126"/>
      <c r="I106" s="126"/>
      <c r="J106" s="126"/>
      <c r="K106" s="126"/>
      <c r="L106" s="126"/>
      <c r="M106" s="126"/>
    </row>
    <row r="107" spans="2:13">
      <c r="B107" s="126"/>
      <c r="C107" s="126"/>
      <c r="D107" s="126"/>
      <c r="E107" s="126"/>
      <c r="F107" s="126"/>
      <c r="G107" s="126"/>
      <c r="H107" s="126"/>
      <c r="I107" s="126"/>
      <c r="J107" s="126"/>
      <c r="K107" s="126"/>
      <c r="L107" s="126"/>
      <c r="M107" s="126"/>
    </row>
    <row r="108" spans="2:13">
      <c r="B108" s="126"/>
      <c r="C108" s="126"/>
      <c r="D108" s="126"/>
      <c r="E108" s="126"/>
      <c r="F108" s="126"/>
      <c r="G108" s="126"/>
      <c r="H108" s="126"/>
      <c r="I108" s="126"/>
      <c r="J108" s="126"/>
      <c r="K108" s="126"/>
      <c r="L108" s="126"/>
      <c r="M108" s="126"/>
    </row>
    <row r="109" spans="2:13">
      <c r="B109" s="126"/>
      <c r="C109" s="126"/>
      <c r="D109" s="126"/>
      <c r="E109" s="126"/>
      <c r="F109" s="126"/>
      <c r="G109" s="126"/>
      <c r="H109" s="126"/>
      <c r="I109" s="126"/>
      <c r="J109" s="126"/>
      <c r="K109" s="126"/>
      <c r="L109" s="126"/>
      <c r="M109" s="126"/>
    </row>
    <row r="110" spans="2:13">
      <c r="B110" s="126"/>
      <c r="C110" s="126"/>
      <c r="D110" s="126"/>
      <c r="E110" s="126"/>
      <c r="F110" s="126"/>
      <c r="G110" s="126"/>
      <c r="H110" s="126"/>
      <c r="I110" s="126"/>
      <c r="J110" s="126"/>
      <c r="K110" s="126"/>
      <c r="L110" s="126"/>
      <c r="M110" s="126"/>
    </row>
    <row r="111" spans="2:13">
      <c r="B111" s="126"/>
      <c r="C111" s="126"/>
      <c r="D111" s="126"/>
      <c r="E111" s="126"/>
      <c r="F111" s="126"/>
      <c r="G111" s="126"/>
      <c r="H111" s="126"/>
      <c r="I111" s="126"/>
      <c r="J111" s="126"/>
      <c r="K111" s="126"/>
      <c r="L111" s="126"/>
      <c r="M111" s="126"/>
    </row>
    <row r="112" spans="2:13">
      <c r="B112" s="126"/>
      <c r="C112" s="126"/>
      <c r="D112" s="126"/>
      <c r="E112" s="126"/>
      <c r="F112" s="126"/>
      <c r="G112" s="126"/>
      <c r="H112" s="126"/>
      <c r="I112" s="126"/>
      <c r="J112" s="126"/>
      <c r="K112" s="126"/>
      <c r="L112" s="126"/>
      <c r="M112" s="126"/>
    </row>
    <row r="113" spans="2:13">
      <c r="B113" s="126"/>
      <c r="C113" s="126"/>
      <c r="D113" s="126"/>
      <c r="E113" s="126"/>
      <c r="F113" s="126"/>
      <c r="G113" s="126"/>
      <c r="H113" s="126"/>
      <c r="I113" s="126"/>
      <c r="J113" s="126"/>
      <c r="K113" s="126"/>
      <c r="L113" s="126"/>
      <c r="M113" s="126"/>
    </row>
    <row r="114" spans="2:13">
      <c r="B114" s="126"/>
      <c r="C114" s="126"/>
      <c r="D114" s="126"/>
      <c r="E114" s="126"/>
      <c r="F114" s="126"/>
      <c r="G114" s="126"/>
      <c r="H114" s="126"/>
      <c r="I114" s="126"/>
      <c r="J114" s="126"/>
      <c r="K114" s="126"/>
      <c r="L114" s="126"/>
      <c r="M114" s="126"/>
    </row>
    <row r="115" spans="2:13">
      <c r="B115" s="126"/>
      <c r="C115" s="126"/>
      <c r="D115" s="126"/>
      <c r="E115" s="126"/>
      <c r="F115" s="126"/>
      <c r="G115" s="126"/>
      <c r="H115" s="126"/>
      <c r="I115" s="126"/>
      <c r="J115" s="126"/>
      <c r="K115" s="126"/>
      <c r="L115" s="126"/>
      <c r="M115" s="126"/>
    </row>
    <row r="116" spans="2:13">
      <c r="B116" s="126"/>
      <c r="C116" s="126"/>
      <c r="D116" s="126"/>
      <c r="E116" s="126"/>
      <c r="F116" s="126"/>
      <c r="G116" s="126"/>
      <c r="H116" s="126"/>
      <c r="I116" s="126"/>
      <c r="J116" s="126"/>
      <c r="K116" s="126"/>
      <c r="L116" s="126"/>
      <c r="M116" s="126"/>
    </row>
    <row r="117" spans="2:13">
      <c r="B117" s="126"/>
      <c r="C117" s="126"/>
      <c r="D117" s="126"/>
      <c r="E117" s="126"/>
      <c r="F117" s="126"/>
      <c r="G117" s="126"/>
      <c r="H117" s="126"/>
      <c r="I117" s="126"/>
      <c r="J117" s="126"/>
      <c r="K117" s="126"/>
      <c r="L117" s="126"/>
      <c r="M117" s="126"/>
    </row>
    <row r="118" spans="2:13">
      <c r="B118" s="126"/>
      <c r="C118" s="126"/>
      <c r="D118" s="126"/>
      <c r="E118" s="126"/>
      <c r="F118" s="126"/>
      <c r="G118" s="126"/>
      <c r="H118" s="126"/>
      <c r="I118" s="126"/>
      <c r="J118" s="126"/>
      <c r="K118" s="126"/>
      <c r="L118" s="126"/>
      <c r="M118" s="126"/>
    </row>
    <row r="119" spans="2:13">
      <c r="B119" s="126"/>
      <c r="C119" s="126"/>
      <c r="D119" s="126"/>
      <c r="E119" s="126"/>
      <c r="F119" s="126"/>
      <c r="G119" s="126"/>
      <c r="H119" s="126"/>
      <c r="I119" s="126"/>
      <c r="J119" s="126"/>
      <c r="K119" s="126"/>
      <c r="L119" s="126"/>
      <c r="M119" s="126"/>
    </row>
    <row r="120" spans="2:13">
      <c r="B120" s="126"/>
      <c r="C120" s="126"/>
      <c r="D120" s="126"/>
      <c r="E120" s="126"/>
      <c r="F120" s="126"/>
      <c r="G120" s="126"/>
      <c r="H120" s="126"/>
      <c r="I120" s="126"/>
      <c r="J120" s="126"/>
      <c r="K120" s="126"/>
      <c r="L120" s="126"/>
      <c r="M120" s="126"/>
    </row>
    <row r="121" spans="2:13">
      <c r="B121" s="126"/>
      <c r="C121" s="126"/>
      <c r="D121" s="126"/>
      <c r="E121" s="126"/>
      <c r="F121" s="126"/>
      <c r="G121" s="126"/>
      <c r="H121" s="126"/>
      <c r="I121" s="126"/>
      <c r="J121" s="126"/>
      <c r="K121" s="126"/>
      <c r="L121" s="126"/>
      <c r="M121" s="126"/>
    </row>
    <row r="122" spans="2:13">
      <c r="B122" s="126"/>
      <c r="C122" s="126"/>
      <c r="D122" s="126"/>
      <c r="E122" s="126"/>
      <c r="F122" s="126"/>
      <c r="G122" s="126"/>
      <c r="H122" s="126"/>
      <c r="I122" s="126"/>
      <c r="J122" s="126"/>
      <c r="K122" s="126"/>
      <c r="L122" s="126"/>
      <c r="M122" s="126"/>
    </row>
    <row r="123" spans="2:13">
      <c r="B123" s="126"/>
      <c r="C123" s="126"/>
      <c r="D123" s="126"/>
      <c r="E123" s="126"/>
      <c r="F123" s="126"/>
      <c r="G123" s="126"/>
      <c r="H123" s="126"/>
      <c r="I123" s="126"/>
      <c r="J123" s="126"/>
      <c r="K123" s="126"/>
      <c r="L123" s="126"/>
      <c r="M123" s="126"/>
    </row>
    <row r="124" spans="2:13">
      <c r="B124" s="126"/>
      <c r="C124" s="126"/>
      <c r="D124" s="126"/>
      <c r="E124" s="126"/>
      <c r="F124" s="126"/>
      <c r="G124" s="126"/>
      <c r="H124" s="126"/>
      <c r="I124" s="126"/>
      <c r="J124" s="126"/>
      <c r="K124" s="126"/>
      <c r="L124" s="126"/>
      <c r="M124" s="126"/>
    </row>
    <row r="125" spans="2:13">
      <c r="B125" s="126"/>
      <c r="C125" s="126"/>
      <c r="D125" s="126"/>
      <c r="E125" s="126"/>
      <c r="F125" s="126"/>
      <c r="G125" s="126"/>
      <c r="H125" s="126"/>
      <c r="I125" s="126"/>
      <c r="J125" s="126"/>
      <c r="K125" s="126"/>
      <c r="L125" s="126"/>
      <c r="M125" s="126"/>
    </row>
    <row r="126" spans="2:13">
      <c r="B126" s="126"/>
      <c r="C126" s="126"/>
      <c r="D126" s="126"/>
      <c r="E126" s="126"/>
      <c r="F126" s="126"/>
      <c r="G126" s="126"/>
      <c r="H126" s="126"/>
      <c r="I126" s="126"/>
      <c r="J126" s="126"/>
      <c r="K126" s="126"/>
      <c r="L126" s="126"/>
      <c r="M126" s="126"/>
    </row>
    <row r="127" spans="2:13">
      <c r="B127" s="126"/>
      <c r="C127" s="126"/>
      <c r="D127" s="126"/>
      <c r="E127" s="126"/>
      <c r="F127" s="126"/>
      <c r="G127" s="126"/>
      <c r="H127" s="126"/>
      <c r="I127" s="126"/>
      <c r="J127" s="126"/>
      <c r="K127" s="126"/>
      <c r="L127" s="126"/>
      <c r="M127" s="126"/>
    </row>
    <row r="128" spans="2:13">
      <c r="B128" s="126"/>
      <c r="C128" s="126"/>
      <c r="D128" s="126"/>
      <c r="E128" s="126"/>
      <c r="F128" s="126"/>
      <c r="G128" s="126"/>
      <c r="H128" s="126"/>
      <c r="I128" s="126"/>
      <c r="J128" s="126"/>
      <c r="K128" s="126"/>
      <c r="L128" s="126"/>
      <c r="M128" s="126"/>
    </row>
    <row r="129" spans="2:13">
      <c r="B129" s="126"/>
      <c r="C129" s="126"/>
      <c r="D129" s="126"/>
      <c r="E129" s="126"/>
      <c r="F129" s="126"/>
      <c r="G129" s="126"/>
      <c r="H129" s="126"/>
      <c r="I129" s="126"/>
      <c r="J129" s="126"/>
      <c r="K129" s="126"/>
      <c r="L129" s="126"/>
      <c r="M129" s="126"/>
    </row>
    <row r="130" spans="2:13">
      <c r="B130" s="126"/>
      <c r="C130" s="126"/>
      <c r="D130" s="126"/>
      <c r="E130" s="126"/>
      <c r="F130" s="126"/>
      <c r="G130" s="126"/>
      <c r="H130" s="126"/>
      <c r="I130" s="126"/>
      <c r="J130" s="126"/>
      <c r="K130" s="126"/>
      <c r="L130" s="126"/>
      <c r="M130" s="126"/>
    </row>
    <row r="131" spans="2:13">
      <c r="B131" s="126"/>
      <c r="C131" s="126"/>
      <c r="D131" s="126"/>
      <c r="E131" s="126"/>
      <c r="F131" s="126"/>
      <c r="G131" s="126"/>
      <c r="H131" s="126"/>
      <c r="I131" s="126"/>
      <c r="J131" s="126"/>
      <c r="K131" s="126"/>
      <c r="L131" s="126"/>
      <c r="M131" s="126"/>
    </row>
    <row r="132" spans="2:13">
      <c r="B132" s="126"/>
      <c r="C132" s="126"/>
      <c r="D132" s="126"/>
      <c r="E132" s="126"/>
      <c r="F132" s="126"/>
      <c r="G132" s="126"/>
      <c r="H132" s="126"/>
      <c r="I132" s="126"/>
      <c r="J132" s="126"/>
      <c r="K132" s="126"/>
      <c r="L132" s="126"/>
      <c r="M132" s="126"/>
    </row>
    <row r="133" spans="2:13">
      <c r="B133" s="126"/>
      <c r="C133" s="126"/>
      <c r="D133" s="126"/>
      <c r="E133" s="126"/>
      <c r="F133" s="126"/>
      <c r="G133" s="126"/>
      <c r="H133" s="126"/>
      <c r="I133" s="126"/>
      <c r="J133" s="126"/>
      <c r="K133" s="126"/>
      <c r="L133" s="126"/>
      <c r="M133" s="126"/>
    </row>
    <row r="134" spans="2:13">
      <c r="B134" s="126"/>
      <c r="C134" s="126"/>
      <c r="D134" s="126"/>
      <c r="E134" s="126"/>
      <c r="F134" s="126"/>
      <c r="G134" s="126"/>
      <c r="H134" s="126"/>
      <c r="I134" s="126"/>
      <c r="J134" s="126"/>
      <c r="K134" s="126"/>
      <c r="L134" s="126"/>
      <c r="M134" s="126"/>
    </row>
    <row r="135" spans="2:13">
      <c r="B135" s="126"/>
      <c r="C135" s="126"/>
      <c r="D135" s="126"/>
      <c r="E135" s="126"/>
      <c r="F135" s="126"/>
      <c r="G135" s="126"/>
      <c r="H135" s="126"/>
      <c r="I135" s="126"/>
      <c r="J135" s="126"/>
      <c r="K135" s="126"/>
      <c r="L135" s="126"/>
      <c r="M135" s="126"/>
    </row>
    <row r="136" spans="2:13">
      <c r="B136" s="126"/>
      <c r="C136" s="126"/>
      <c r="D136" s="126"/>
      <c r="E136" s="126"/>
      <c r="F136" s="126"/>
      <c r="G136" s="126"/>
      <c r="H136" s="126"/>
      <c r="I136" s="126"/>
      <c r="J136" s="126"/>
      <c r="K136" s="126"/>
      <c r="L136" s="126"/>
      <c r="M136" s="126"/>
    </row>
    <row r="137" spans="2:13">
      <c r="B137" s="126"/>
      <c r="C137" s="126"/>
      <c r="D137" s="126"/>
      <c r="E137" s="126"/>
      <c r="F137" s="126"/>
      <c r="G137" s="126"/>
      <c r="H137" s="126"/>
      <c r="I137" s="126"/>
      <c r="J137" s="126"/>
      <c r="K137" s="126"/>
      <c r="L137" s="126"/>
      <c r="M137" s="126"/>
    </row>
    <row r="138" spans="2:13">
      <c r="B138" s="126"/>
      <c r="C138" s="126"/>
      <c r="D138" s="126"/>
      <c r="E138" s="126"/>
      <c r="F138" s="126"/>
      <c r="G138" s="126"/>
      <c r="H138" s="126"/>
      <c r="I138" s="126"/>
      <c r="J138" s="126"/>
      <c r="K138" s="126"/>
      <c r="L138" s="126"/>
      <c r="M138" s="126"/>
    </row>
    <row r="139" spans="2:13">
      <c r="B139" s="126"/>
      <c r="C139" s="126"/>
      <c r="D139" s="126"/>
      <c r="E139" s="126"/>
      <c r="F139" s="126"/>
      <c r="G139" s="126"/>
      <c r="H139" s="126"/>
      <c r="I139" s="126"/>
      <c r="J139" s="126"/>
      <c r="K139" s="126"/>
      <c r="L139" s="126"/>
      <c r="M139" s="126"/>
    </row>
    <row r="140" spans="2:13">
      <c r="B140" s="126"/>
      <c r="C140" s="126"/>
      <c r="D140" s="126"/>
      <c r="E140" s="126"/>
      <c r="F140" s="126"/>
      <c r="G140" s="126"/>
      <c r="H140" s="126"/>
      <c r="I140" s="126"/>
      <c r="J140" s="126"/>
      <c r="K140" s="126"/>
      <c r="L140" s="126"/>
      <c r="M140" s="126"/>
    </row>
    <row r="141" spans="2:13">
      <c r="B141" s="126"/>
      <c r="C141" s="126"/>
      <c r="D141" s="126"/>
      <c r="E141" s="126"/>
      <c r="F141" s="126"/>
      <c r="G141" s="126"/>
      <c r="H141" s="126"/>
      <c r="I141" s="126"/>
      <c r="J141" s="126"/>
      <c r="K141" s="126"/>
      <c r="L141" s="126"/>
      <c r="M141" s="126"/>
    </row>
    <row r="142" spans="2:13">
      <c r="B142" s="126"/>
      <c r="C142" s="126"/>
      <c r="D142" s="126"/>
      <c r="E142" s="126"/>
      <c r="F142" s="126"/>
      <c r="G142" s="126"/>
      <c r="H142" s="126"/>
      <c r="I142" s="126"/>
      <c r="J142" s="126"/>
      <c r="K142" s="126"/>
      <c r="L142" s="126"/>
      <c r="M142" s="126"/>
    </row>
    <row r="143" spans="2:13">
      <c r="B143" s="126"/>
      <c r="C143" s="126"/>
      <c r="D143" s="126"/>
      <c r="E143" s="126"/>
      <c r="F143" s="126"/>
      <c r="G143" s="126"/>
      <c r="H143" s="126"/>
      <c r="I143" s="126"/>
      <c r="J143" s="126"/>
      <c r="K143" s="126"/>
      <c r="L143" s="126"/>
      <c r="M143" s="126"/>
    </row>
    <row r="144" spans="2:13">
      <c r="B144" s="126"/>
      <c r="C144" s="126"/>
      <c r="D144" s="126"/>
      <c r="E144" s="126"/>
      <c r="F144" s="126"/>
      <c r="G144" s="126"/>
      <c r="H144" s="126"/>
      <c r="I144" s="126"/>
      <c r="J144" s="126"/>
      <c r="K144" s="126"/>
      <c r="L144" s="126"/>
      <c r="M144" s="126"/>
    </row>
    <row r="145" spans="2:13">
      <c r="B145" s="126"/>
      <c r="C145" s="126"/>
      <c r="D145" s="126"/>
      <c r="E145" s="126"/>
      <c r="F145" s="126"/>
      <c r="G145" s="126"/>
      <c r="H145" s="126"/>
      <c r="I145" s="126"/>
      <c r="J145" s="126"/>
      <c r="K145" s="126"/>
      <c r="L145" s="126"/>
      <c r="M145" s="126"/>
    </row>
    <row r="146" spans="2:13">
      <c r="B146" s="126"/>
      <c r="C146" s="126"/>
      <c r="D146" s="126"/>
      <c r="E146" s="126"/>
      <c r="F146" s="126"/>
      <c r="G146" s="126"/>
      <c r="H146" s="126"/>
      <c r="I146" s="126"/>
      <c r="J146" s="126"/>
      <c r="K146" s="126"/>
      <c r="L146" s="126"/>
      <c r="M146" s="126"/>
    </row>
    <row r="147" spans="2:13">
      <c r="B147" s="126"/>
      <c r="C147" s="126"/>
      <c r="D147" s="126"/>
      <c r="E147" s="126"/>
      <c r="F147" s="126"/>
      <c r="G147" s="126"/>
      <c r="H147" s="126"/>
      <c r="I147" s="126"/>
      <c r="J147" s="126"/>
      <c r="K147" s="126"/>
      <c r="L147" s="126"/>
      <c r="M147" s="126"/>
    </row>
    <row r="148" spans="2:13">
      <c r="B148" s="126"/>
      <c r="C148" s="126"/>
      <c r="D148" s="126"/>
      <c r="E148" s="126"/>
      <c r="F148" s="126"/>
      <c r="G148" s="126"/>
      <c r="H148" s="126"/>
      <c r="I148" s="126"/>
      <c r="J148" s="126"/>
      <c r="K148" s="126"/>
      <c r="L148" s="126"/>
      <c r="M148" s="126"/>
    </row>
    <row r="149" spans="2:13">
      <c r="B149" s="126"/>
      <c r="C149" s="126"/>
      <c r="D149" s="126"/>
      <c r="E149" s="126"/>
      <c r="F149" s="126"/>
      <c r="G149" s="126"/>
      <c r="H149" s="126"/>
      <c r="I149" s="126"/>
      <c r="J149" s="126"/>
      <c r="K149" s="126"/>
      <c r="L149" s="126"/>
      <c r="M149" s="126"/>
    </row>
    <row r="150" spans="2:13">
      <c r="B150" s="126"/>
      <c r="C150" s="126"/>
      <c r="D150" s="126"/>
      <c r="E150" s="126"/>
      <c r="F150" s="126"/>
      <c r="G150" s="126"/>
      <c r="H150" s="126"/>
      <c r="I150" s="126"/>
      <c r="J150" s="126"/>
      <c r="K150" s="126"/>
      <c r="L150" s="126"/>
      <c r="M150" s="126"/>
    </row>
    <row r="151" spans="2:13">
      <c r="B151" s="126"/>
      <c r="C151" s="126"/>
      <c r="D151" s="126"/>
      <c r="E151" s="126"/>
      <c r="F151" s="126"/>
      <c r="G151" s="126"/>
      <c r="H151" s="126"/>
      <c r="I151" s="126"/>
      <c r="J151" s="126"/>
      <c r="K151" s="126"/>
      <c r="L151" s="126"/>
      <c r="M151" s="126"/>
    </row>
    <row r="152" spans="2:13">
      <c r="B152" s="126"/>
      <c r="C152" s="126"/>
      <c r="D152" s="126"/>
      <c r="E152" s="126"/>
      <c r="F152" s="126"/>
      <c r="G152" s="126"/>
      <c r="H152" s="126"/>
      <c r="I152" s="126"/>
      <c r="J152" s="126"/>
      <c r="K152" s="126"/>
      <c r="L152" s="126"/>
      <c r="M152" s="126"/>
    </row>
    <row r="153" spans="2:13">
      <c r="B153" s="126"/>
      <c r="C153" s="126"/>
      <c r="D153" s="126"/>
      <c r="E153" s="126"/>
      <c r="F153" s="126"/>
      <c r="G153" s="126"/>
      <c r="H153" s="126"/>
      <c r="I153" s="126"/>
      <c r="J153" s="126"/>
      <c r="K153" s="126"/>
      <c r="L153" s="126"/>
      <c r="M153" s="126"/>
    </row>
    <row r="154" spans="2:13">
      <c r="B154" s="126"/>
      <c r="C154" s="126"/>
      <c r="D154" s="126"/>
      <c r="E154" s="126"/>
      <c r="F154" s="126"/>
      <c r="G154" s="126"/>
      <c r="H154" s="126"/>
      <c r="I154" s="126"/>
      <c r="J154" s="126"/>
      <c r="K154" s="126"/>
      <c r="L154" s="126"/>
      <c r="M154" s="126"/>
    </row>
    <row r="155" spans="2:13">
      <c r="B155" s="126"/>
      <c r="C155" s="126"/>
      <c r="D155" s="126"/>
      <c r="E155" s="126"/>
      <c r="F155" s="126"/>
      <c r="G155" s="126"/>
      <c r="H155" s="126"/>
      <c r="I155" s="126"/>
      <c r="J155" s="126"/>
      <c r="K155" s="126"/>
      <c r="L155" s="126"/>
      <c r="M155" s="126"/>
    </row>
    <row r="156" spans="2:13">
      <c r="B156" s="126"/>
      <c r="C156" s="126"/>
      <c r="D156" s="126"/>
      <c r="E156" s="126"/>
      <c r="F156" s="126"/>
      <c r="G156" s="126"/>
      <c r="H156" s="126"/>
      <c r="I156" s="126"/>
      <c r="J156" s="126"/>
      <c r="K156" s="126"/>
      <c r="L156" s="126"/>
      <c r="M156" s="126"/>
    </row>
    <row r="157" spans="2:13">
      <c r="B157" s="126"/>
      <c r="C157" s="126"/>
      <c r="D157" s="126"/>
      <c r="E157" s="126"/>
      <c r="F157" s="126"/>
      <c r="G157" s="126"/>
      <c r="H157" s="126"/>
      <c r="I157" s="126"/>
      <c r="J157" s="126"/>
      <c r="K157" s="126"/>
      <c r="L157" s="126"/>
      <c r="M157" s="126"/>
    </row>
    <row r="158" spans="2:13">
      <c r="B158" s="126"/>
      <c r="C158" s="126"/>
      <c r="D158" s="126"/>
      <c r="E158" s="126"/>
      <c r="F158" s="126"/>
      <c r="G158" s="126"/>
      <c r="H158" s="126"/>
      <c r="I158" s="126"/>
      <c r="J158" s="126"/>
      <c r="K158" s="126"/>
      <c r="L158" s="126"/>
      <c r="M158" s="126"/>
    </row>
    <row r="159" spans="2:13">
      <c r="B159" s="126"/>
      <c r="C159" s="126"/>
      <c r="D159" s="126"/>
      <c r="E159" s="126"/>
      <c r="F159" s="126"/>
      <c r="G159" s="126"/>
      <c r="H159" s="126"/>
      <c r="I159" s="126"/>
      <c r="J159" s="126"/>
      <c r="K159" s="126"/>
      <c r="L159" s="126"/>
      <c r="M159" s="126"/>
    </row>
    <row r="160" spans="2:13">
      <c r="B160" s="126"/>
      <c r="C160" s="126"/>
      <c r="D160" s="126"/>
      <c r="E160" s="126"/>
      <c r="F160" s="126"/>
      <c r="G160" s="126"/>
      <c r="H160" s="126"/>
      <c r="I160" s="126"/>
      <c r="J160" s="126"/>
      <c r="K160" s="126"/>
      <c r="L160" s="126"/>
      <c r="M160" s="126"/>
    </row>
    <row r="161" spans="2:13">
      <c r="B161" s="126"/>
      <c r="C161" s="126"/>
      <c r="D161" s="126"/>
      <c r="E161" s="126"/>
      <c r="F161" s="126"/>
      <c r="G161" s="126"/>
      <c r="H161" s="126"/>
      <c r="I161" s="126"/>
      <c r="J161" s="126"/>
      <c r="K161" s="126"/>
      <c r="L161" s="126"/>
      <c r="M161" s="126"/>
    </row>
    <row r="162" spans="2:13">
      <c r="B162" s="126"/>
      <c r="C162" s="126"/>
      <c r="D162" s="126"/>
      <c r="E162" s="126"/>
      <c r="F162" s="126"/>
      <c r="G162" s="126"/>
      <c r="H162" s="126"/>
      <c r="I162" s="126"/>
      <c r="J162" s="126"/>
      <c r="K162" s="126"/>
      <c r="L162" s="126"/>
      <c r="M162" s="126"/>
    </row>
    <row r="163" spans="2:13">
      <c r="B163" s="126"/>
      <c r="C163" s="126"/>
      <c r="D163" s="126"/>
      <c r="E163" s="126"/>
      <c r="F163" s="126"/>
      <c r="G163" s="126"/>
      <c r="H163" s="126"/>
      <c r="I163" s="126"/>
      <c r="J163" s="126"/>
      <c r="K163" s="126"/>
      <c r="L163" s="126"/>
      <c r="M163" s="126"/>
    </row>
    <row r="164" spans="2:13">
      <c r="B164" s="126"/>
      <c r="C164" s="126"/>
      <c r="D164" s="126"/>
      <c r="E164" s="126"/>
      <c r="F164" s="126"/>
      <c r="G164" s="126"/>
      <c r="H164" s="126"/>
      <c r="I164" s="126"/>
      <c r="J164" s="126"/>
      <c r="K164" s="126"/>
      <c r="L164" s="126"/>
      <c r="M164" s="126"/>
    </row>
    <row r="165" spans="2:13">
      <c r="B165" s="126"/>
      <c r="C165" s="126"/>
      <c r="D165" s="126"/>
      <c r="E165" s="126"/>
      <c r="F165" s="126"/>
      <c r="G165" s="126"/>
      <c r="H165" s="126"/>
      <c r="I165" s="126"/>
      <c r="J165" s="126"/>
      <c r="K165" s="126"/>
      <c r="L165" s="126"/>
      <c r="M165" s="126"/>
    </row>
    <row r="166" spans="2:13">
      <c r="B166" s="126"/>
      <c r="C166" s="126"/>
      <c r="D166" s="126"/>
      <c r="E166" s="126"/>
      <c r="F166" s="126"/>
      <c r="G166" s="126"/>
      <c r="H166" s="126"/>
      <c r="I166" s="126"/>
      <c r="J166" s="126"/>
      <c r="K166" s="126"/>
      <c r="L166" s="126"/>
      <c r="M166" s="126"/>
    </row>
    <row r="167" spans="2:13">
      <c r="B167" s="126"/>
      <c r="C167" s="126"/>
      <c r="D167" s="126"/>
      <c r="E167" s="126"/>
      <c r="F167" s="126"/>
      <c r="G167" s="126"/>
      <c r="H167" s="126"/>
      <c r="I167" s="126"/>
      <c r="J167" s="126"/>
      <c r="K167" s="126"/>
      <c r="L167" s="126"/>
      <c r="M167" s="126"/>
    </row>
    <row r="168" spans="2:13">
      <c r="B168" s="126"/>
      <c r="C168" s="126"/>
      <c r="D168" s="126"/>
      <c r="E168" s="126"/>
      <c r="F168" s="126"/>
      <c r="G168" s="126"/>
      <c r="H168" s="126"/>
      <c r="I168" s="126"/>
      <c r="J168" s="126"/>
      <c r="K168" s="126"/>
      <c r="L168" s="126"/>
      <c r="M168" s="126"/>
    </row>
    <row r="169" spans="2:13">
      <c r="B169" s="126"/>
      <c r="C169" s="126"/>
      <c r="D169" s="126"/>
      <c r="E169" s="126"/>
      <c r="F169" s="126"/>
      <c r="G169" s="126"/>
      <c r="H169" s="126"/>
      <c r="I169" s="126"/>
      <c r="J169" s="126"/>
      <c r="K169" s="126"/>
      <c r="L169" s="126"/>
      <c r="M169" s="126"/>
    </row>
    <row r="170" spans="2:13">
      <c r="B170" s="126"/>
      <c r="C170" s="126"/>
      <c r="D170" s="126"/>
      <c r="E170" s="126"/>
      <c r="F170" s="126"/>
      <c r="G170" s="126"/>
      <c r="H170" s="126"/>
      <c r="I170" s="126"/>
      <c r="J170" s="126"/>
      <c r="K170" s="126"/>
      <c r="L170" s="126"/>
      <c r="M170" s="126"/>
    </row>
    <row r="171" spans="2:13">
      <c r="B171" s="126"/>
      <c r="C171" s="126"/>
      <c r="D171" s="126"/>
      <c r="E171" s="126"/>
      <c r="F171" s="126"/>
      <c r="G171" s="126"/>
      <c r="H171" s="126"/>
      <c r="I171" s="126"/>
      <c r="J171" s="126"/>
      <c r="K171" s="126"/>
      <c r="L171" s="126"/>
      <c r="M171" s="126"/>
    </row>
    <row r="172" spans="2:13">
      <c r="B172" s="126"/>
      <c r="C172" s="126"/>
      <c r="D172" s="126"/>
      <c r="E172" s="126"/>
      <c r="F172" s="126"/>
      <c r="G172" s="126"/>
      <c r="H172" s="126"/>
      <c r="I172" s="126"/>
      <c r="J172" s="126"/>
      <c r="K172" s="126"/>
      <c r="L172" s="126"/>
      <c r="M172" s="126"/>
    </row>
    <row r="173" spans="2:13">
      <c r="B173" s="126"/>
      <c r="C173" s="126"/>
      <c r="D173" s="126"/>
      <c r="E173" s="126"/>
      <c r="F173" s="126"/>
      <c r="G173" s="126"/>
      <c r="H173" s="126"/>
      <c r="I173" s="126"/>
      <c r="J173" s="126"/>
      <c r="K173" s="126"/>
      <c r="L173" s="126"/>
      <c r="M173" s="126"/>
    </row>
    <row r="174" spans="2:13">
      <c r="B174" s="126"/>
      <c r="C174" s="126"/>
      <c r="D174" s="126"/>
      <c r="E174" s="126"/>
      <c r="F174" s="126"/>
      <c r="G174" s="126"/>
      <c r="H174" s="126"/>
      <c r="I174" s="126"/>
      <c r="J174" s="126"/>
      <c r="K174" s="126"/>
      <c r="L174" s="126"/>
      <c r="M174" s="126"/>
    </row>
    <row r="175" spans="2:13">
      <c r="B175" s="126"/>
      <c r="C175" s="126"/>
      <c r="D175" s="126"/>
      <c r="E175" s="126"/>
      <c r="F175" s="126"/>
      <c r="G175" s="126"/>
      <c r="H175" s="126"/>
      <c r="I175" s="126"/>
      <c r="J175" s="126"/>
      <c r="K175" s="126"/>
      <c r="L175" s="126"/>
      <c r="M175" s="126"/>
    </row>
    <row r="176" spans="2:13">
      <c r="B176" s="126"/>
      <c r="C176" s="126"/>
      <c r="D176" s="126"/>
      <c r="E176" s="126"/>
      <c r="F176" s="126"/>
      <c r="G176" s="126"/>
      <c r="H176" s="126"/>
      <c r="I176" s="126"/>
      <c r="J176" s="126"/>
      <c r="K176" s="126"/>
      <c r="L176" s="126"/>
      <c r="M176" s="126"/>
    </row>
    <row r="177" spans="2:13">
      <c r="B177" s="126"/>
      <c r="C177" s="126"/>
      <c r="D177" s="126"/>
      <c r="E177" s="126"/>
      <c r="F177" s="126"/>
      <c r="G177" s="126"/>
      <c r="H177" s="126"/>
      <c r="I177" s="126"/>
      <c r="J177" s="126"/>
      <c r="K177" s="126"/>
      <c r="L177" s="126"/>
      <c r="M177" s="126"/>
    </row>
    <row r="178" spans="2:13">
      <c r="B178" s="126"/>
      <c r="C178" s="126"/>
      <c r="D178" s="126"/>
      <c r="E178" s="126"/>
      <c r="F178" s="126"/>
      <c r="G178" s="126"/>
      <c r="H178" s="126"/>
      <c r="I178" s="126"/>
      <c r="J178" s="126"/>
      <c r="K178" s="126"/>
      <c r="L178" s="126"/>
      <c r="M178" s="126"/>
    </row>
    <row r="179" spans="2:13">
      <c r="B179" s="126"/>
      <c r="C179" s="126"/>
      <c r="D179" s="126"/>
      <c r="E179" s="126"/>
      <c r="F179" s="126"/>
      <c r="G179" s="126"/>
      <c r="H179" s="126"/>
      <c r="I179" s="126"/>
      <c r="J179" s="126"/>
      <c r="K179" s="126"/>
      <c r="L179" s="126"/>
      <c r="M179" s="126"/>
    </row>
    <row r="180" spans="2:13">
      <c r="B180" s="126"/>
      <c r="C180" s="126"/>
      <c r="D180" s="126"/>
      <c r="E180" s="126"/>
      <c r="F180" s="126"/>
      <c r="G180" s="126"/>
      <c r="H180" s="126"/>
      <c r="I180" s="126"/>
      <c r="J180" s="126"/>
      <c r="K180" s="126"/>
      <c r="L180" s="126"/>
      <c r="M180" s="126"/>
    </row>
    <row r="181" spans="2:13">
      <c r="B181" s="126"/>
      <c r="C181" s="126"/>
      <c r="D181" s="126"/>
      <c r="E181" s="126"/>
      <c r="F181" s="126"/>
      <c r="G181" s="126"/>
      <c r="H181" s="126"/>
      <c r="I181" s="126"/>
      <c r="J181" s="126"/>
      <c r="K181" s="126"/>
      <c r="L181" s="126"/>
      <c r="M181" s="126"/>
    </row>
    <row r="182" spans="2:13">
      <c r="B182" s="126"/>
      <c r="C182" s="126"/>
      <c r="D182" s="126"/>
      <c r="E182" s="126"/>
      <c r="F182" s="126"/>
      <c r="G182" s="126"/>
      <c r="H182" s="126"/>
      <c r="I182" s="126"/>
      <c r="J182" s="126"/>
      <c r="K182" s="126"/>
      <c r="L182" s="126"/>
      <c r="M182" s="126"/>
    </row>
    <row r="183" spans="2:13">
      <c r="B183" s="126"/>
      <c r="C183" s="126"/>
      <c r="D183" s="126"/>
      <c r="E183" s="126"/>
      <c r="F183" s="126"/>
      <c r="G183" s="126"/>
      <c r="H183" s="126"/>
      <c r="I183" s="126"/>
      <c r="J183" s="126"/>
      <c r="K183" s="126"/>
      <c r="L183" s="126"/>
      <c r="M183" s="126"/>
    </row>
    <row r="184" spans="2:13">
      <c r="B184" s="126"/>
      <c r="C184" s="126"/>
      <c r="D184" s="126"/>
      <c r="E184" s="126"/>
      <c r="F184" s="126"/>
      <c r="G184" s="126"/>
      <c r="H184" s="126"/>
      <c r="I184" s="126"/>
      <c r="J184" s="126"/>
      <c r="K184" s="126"/>
      <c r="L184" s="126"/>
      <c r="M184" s="126"/>
    </row>
    <row r="185" spans="2:13">
      <c r="B185" s="126"/>
      <c r="C185" s="126"/>
      <c r="D185" s="126"/>
      <c r="E185" s="126"/>
      <c r="F185" s="126"/>
      <c r="G185" s="126"/>
      <c r="H185" s="126"/>
      <c r="I185" s="126"/>
      <c r="J185" s="126"/>
      <c r="K185" s="126"/>
      <c r="L185" s="126"/>
      <c r="M185" s="126"/>
    </row>
    <row r="186" spans="2:13">
      <c r="B186" s="126"/>
      <c r="C186" s="126"/>
      <c r="D186" s="126"/>
      <c r="E186" s="126"/>
      <c r="F186" s="126"/>
      <c r="G186" s="126"/>
      <c r="H186" s="126"/>
      <c r="I186" s="126"/>
      <c r="J186" s="126"/>
      <c r="K186" s="126"/>
      <c r="L186" s="126"/>
      <c r="M186" s="126"/>
    </row>
    <row r="187" spans="2:13">
      <c r="B187" s="126"/>
      <c r="C187" s="126"/>
      <c r="D187" s="126"/>
      <c r="E187" s="126"/>
      <c r="F187" s="126"/>
      <c r="G187" s="126"/>
      <c r="H187" s="126"/>
      <c r="I187" s="126"/>
      <c r="J187" s="126"/>
      <c r="K187" s="126"/>
      <c r="L187" s="126"/>
      <c r="M187" s="126"/>
    </row>
    <row r="188" spans="2:13">
      <c r="B188" s="126"/>
      <c r="C188" s="126"/>
      <c r="D188" s="126"/>
      <c r="E188" s="126"/>
      <c r="F188" s="126"/>
      <c r="G188" s="126"/>
      <c r="H188" s="126"/>
      <c r="I188" s="126"/>
      <c r="J188" s="126"/>
      <c r="K188" s="126"/>
      <c r="L188" s="126"/>
      <c r="M188" s="126"/>
    </row>
    <row r="189" spans="2:13">
      <c r="B189" s="126"/>
      <c r="C189" s="126"/>
      <c r="D189" s="126"/>
      <c r="E189" s="126"/>
      <c r="F189" s="126"/>
      <c r="G189" s="126"/>
      <c r="H189" s="126"/>
      <c r="I189" s="126"/>
      <c r="J189" s="126"/>
      <c r="K189" s="126"/>
      <c r="L189" s="126"/>
      <c r="M189" s="126"/>
    </row>
    <row r="190" spans="2:13">
      <c r="B190" s="126"/>
      <c r="C190" s="126"/>
      <c r="D190" s="126"/>
      <c r="E190" s="126"/>
      <c r="F190" s="126"/>
      <c r="G190" s="126"/>
      <c r="H190" s="126"/>
      <c r="I190" s="126"/>
      <c r="J190" s="126"/>
      <c r="K190" s="126"/>
      <c r="L190" s="126"/>
      <c r="M190" s="126"/>
    </row>
    <row r="191" spans="2:13">
      <c r="B191" s="126"/>
      <c r="C191" s="126"/>
      <c r="D191" s="126"/>
      <c r="E191" s="126"/>
      <c r="F191" s="126"/>
      <c r="G191" s="126"/>
      <c r="H191" s="126"/>
      <c r="I191" s="126"/>
      <c r="J191" s="126"/>
      <c r="K191" s="126"/>
      <c r="L191" s="126"/>
      <c r="M191" s="126"/>
    </row>
    <row r="192" spans="2:13">
      <c r="B192" s="126"/>
      <c r="C192" s="126"/>
      <c r="D192" s="126"/>
      <c r="E192" s="126"/>
      <c r="F192" s="126"/>
      <c r="G192" s="126"/>
      <c r="H192" s="126"/>
      <c r="I192" s="126"/>
      <c r="J192" s="126"/>
      <c r="K192" s="126"/>
      <c r="L192" s="126"/>
      <c r="M192" s="126"/>
    </row>
    <row r="193" spans="2:13">
      <c r="B193" s="126"/>
      <c r="C193" s="126"/>
      <c r="D193" s="126"/>
      <c r="E193" s="126"/>
      <c r="F193" s="126"/>
      <c r="G193" s="126"/>
      <c r="H193" s="126"/>
      <c r="I193" s="126"/>
      <c r="J193" s="126"/>
      <c r="K193" s="126"/>
      <c r="L193" s="126"/>
      <c r="M193" s="126"/>
    </row>
    <row r="194" spans="2:13">
      <c r="B194" s="126"/>
      <c r="C194" s="126"/>
      <c r="D194" s="126"/>
      <c r="E194" s="126"/>
      <c r="F194" s="126"/>
      <c r="G194" s="126"/>
      <c r="H194" s="126"/>
      <c r="I194" s="126"/>
      <c r="J194" s="126"/>
      <c r="K194" s="126"/>
      <c r="L194" s="126"/>
      <c r="M194" s="126"/>
    </row>
    <row r="195" spans="2:13">
      <c r="B195" s="126"/>
      <c r="C195" s="126"/>
      <c r="D195" s="126"/>
      <c r="E195" s="126"/>
      <c r="F195" s="126"/>
      <c r="G195" s="126"/>
      <c r="H195" s="126"/>
      <c r="I195" s="126"/>
      <c r="J195" s="126"/>
      <c r="K195" s="126"/>
      <c r="L195" s="126"/>
      <c r="M195" s="126"/>
    </row>
    <row r="196" spans="2:13">
      <c r="B196" s="126"/>
      <c r="C196" s="126"/>
      <c r="D196" s="126"/>
      <c r="E196" s="126"/>
      <c r="F196" s="126"/>
      <c r="G196" s="126"/>
      <c r="H196" s="126"/>
      <c r="I196" s="126"/>
      <c r="J196" s="126"/>
      <c r="K196" s="126"/>
      <c r="L196" s="126"/>
      <c r="M196" s="126"/>
    </row>
    <row r="197" spans="2:13">
      <c r="B197" s="126"/>
      <c r="C197" s="126"/>
      <c r="D197" s="126"/>
      <c r="E197" s="126"/>
      <c r="F197" s="126"/>
      <c r="G197" s="126"/>
      <c r="H197" s="126"/>
      <c r="I197" s="126"/>
      <c r="J197" s="126"/>
      <c r="K197" s="126"/>
      <c r="L197" s="126"/>
      <c r="M197" s="126"/>
    </row>
    <row r="198" spans="2:13">
      <c r="B198" s="126"/>
      <c r="C198" s="126"/>
      <c r="D198" s="126"/>
      <c r="E198" s="126"/>
      <c r="F198" s="126"/>
      <c r="G198" s="126"/>
      <c r="H198" s="126"/>
      <c r="I198" s="126"/>
      <c r="J198" s="126"/>
      <c r="K198" s="126"/>
      <c r="L198" s="126"/>
      <c r="M198" s="126"/>
    </row>
    <row r="199" spans="2:13">
      <c r="B199" s="126"/>
      <c r="C199" s="126"/>
      <c r="D199" s="126"/>
      <c r="E199" s="126"/>
      <c r="F199" s="126"/>
      <c r="G199" s="126"/>
      <c r="H199" s="126"/>
      <c r="I199" s="126"/>
      <c r="J199" s="126"/>
      <c r="K199" s="126"/>
      <c r="L199" s="126"/>
      <c r="M199" s="126"/>
    </row>
    <row r="200" spans="2:13">
      <c r="B200" s="126"/>
      <c r="C200" s="126"/>
      <c r="D200" s="126"/>
      <c r="E200" s="126"/>
      <c r="F200" s="126"/>
      <c r="G200" s="126"/>
      <c r="H200" s="126"/>
      <c r="I200" s="126"/>
      <c r="J200" s="126"/>
      <c r="K200" s="126"/>
      <c r="L200" s="126"/>
      <c r="M200" s="126"/>
    </row>
    <row r="201" spans="2:13">
      <c r="B201" s="126"/>
      <c r="C201" s="126"/>
      <c r="D201" s="126"/>
      <c r="E201" s="126"/>
      <c r="F201" s="126"/>
      <c r="G201" s="126"/>
      <c r="H201" s="126"/>
      <c r="I201" s="126"/>
      <c r="J201" s="126"/>
      <c r="K201" s="126"/>
      <c r="L201" s="126"/>
      <c r="M201" s="126"/>
    </row>
    <row r="202" spans="2:13">
      <c r="B202" s="126"/>
      <c r="C202" s="126"/>
      <c r="D202" s="126"/>
      <c r="E202" s="126"/>
      <c r="F202" s="126"/>
      <c r="G202" s="126"/>
      <c r="H202" s="126"/>
      <c r="I202" s="126"/>
      <c r="J202" s="126"/>
      <c r="K202" s="126"/>
      <c r="L202" s="126"/>
      <c r="M202" s="126"/>
    </row>
    <row r="203" spans="2:13">
      <c r="B203" s="126"/>
      <c r="C203" s="126"/>
      <c r="D203" s="126"/>
      <c r="E203" s="126"/>
      <c r="F203" s="126"/>
      <c r="G203" s="126"/>
      <c r="H203" s="126"/>
      <c r="I203" s="126"/>
      <c r="J203" s="126"/>
      <c r="K203" s="126"/>
      <c r="L203" s="126"/>
      <c r="M203" s="126"/>
    </row>
    <row r="204" spans="2:13">
      <c r="B204" s="126"/>
      <c r="C204" s="126"/>
      <c r="D204" s="126"/>
      <c r="E204" s="126"/>
      <c r="F204" s="126"/>
      <c r="G204" s="126"/>
      <c r="H204" s="126"/>
      <c r="I204" s="126"/>
      <c r="J204" s="126"/>
      <c r="K204" s="126"/>
      <c r="L204" s="126"/>
      <c r="M204" s="126"/>
    </row>
    <row r="205" spans="2:13">
      <c r="B205" s="126"/>
      <c r="C205" s="126"/>
      <c r="D205" s="126"/>
      <c r="E205" s="126"/>
      <c r="F205" s="126"/>
      <c r="G205" s="126"/>
      <c r="H205" s="126"/>
      <c r="I205" s="126"/>
      <c r="J205" s="126"/>
      <c r="K205" s="126"/>
      <c r="L205" s="126"/>
      <c r="M205" s="126"/>
    </row>
    <row r="206" spans="2:13">
      <c r="B206" s="126"/>
      <c r="C206" s="126"/>
      <c r="D206" s="126"/>
      <c r="E206" s="126"/>
      <c r="F206" s="126"/>
      <c r="G206" s="126"/>
      <c r="H206" s="126"/>
      <c r="I206" s="126"/>
      <c r="J206" s="126"/>
      <c r="K206" s="126"/>
      <c r="L206" s="126"/>
      <c r="M206" s="126"/>
    </row>
    <row r="207" spans="2:13">
      <c r="B207" s="126"/>
      <c r="C207" s="126"/>
      <c r="D207" s="126"/>
      <c r="E207" s="126"/>
      <c r="F207" s="126"/>
      <c r="G207" s="126"/>
      <c r="H207" s="126"/>
      <c r="I207" s="126"/>
      <c r="J207" s="126"/>
      <c r="K207" s="126"/>
      <c r="L207" s="126"/>
      <c r="M207" s="126"/>
    </row>
    <row r="208" spans="2:13">
      <c r="B208" s="126"/>
      <c r="C208" s="126"/>
      <c r="D208" s="126"/>
      <c r="E208" s="126"/>
      <c r="F208" s="126"/>
      <c r="G208" s="126"/>
      <c r="H208" s="126"/>
      <c r="I208" s="126"/>
      <c r="J208" s="126"/>
      <c r="K208" s="126"/>
      <c r="L208" s="126"/>
      <c r="M208" s="126"/>
    </row>
    <row r="209" spans="2:13">
      <c r="B209" s="126"/>
      <c r="C209" s="126"/>
      <c r="D209" s="126"/>
      <c r="E209" s="126"/>
      <c r="F209" s="126"/>
      <c r="G209" s="126"/>
      <c r="H209" s="126"/>
      <c r="I209" s="126"/>
      <c r="J209" s="126"/>
      <c r="K209" s="126"/>
      <c r="L209" s="126"/>
      <c r="M209" s="126"/>
    </row>
    <row r="210" spans="2:13">
      <c r="B210" s="126"/>
      <c r="C210" s="126"/>
      <c r="D210" s="126"/>
      <c r="E210" s="126"/>
      <c r="F210" s="126"/>
      <c r="G210" s="126"/>
      <c r="H210" s="126"/>
      <c r="I210" s="126"/>
      <c r="J210" s="126"/>
      <c r="K210" s="126"/>
      <c r="L210" s="126"/>
      <c r="M210" s="126"/>
    </row>
    <row r="211" spans="2:13">
      <c r="B211" s="126"/>
      <c r="C211" s="126"/>
      <c r="D211" s="126"/>
      <c r="E211" s="126"/>
      <c r="F211" s="126"/>
      <c r="G211" s="126"/>
      <c r="H211" s="126"/>
      <c r="I211" s="126"/>
      <c r="J211" s="126"/>
      <c r="K211" s="126"/>
      <c r="L211" s="126"/>
      <c r="M211" s="126"/>
    </row>
    <row r="212" spans="2:13">
      <c r="B212" s="126"/>
      <c r="C212" s="126"/>
      <c r="D212" s="126"/>
      <c r="E212" s="126"/>
      <c r="F212" s="126"/>
      <c r="G212" s="126"/>
      <c r="H212" s="126"/>
      <c r="I212" s="126"/>
      <c r="J212" s="126"/>
      <c r="K212" s="126"/>
      <c r="L212" s="126"/>
      <c r="M212" s="126"/>
    </row>
    <row r="213" spans="2:13">
      <c r="B213" s="126"/>
      <c r="C213" s="126"/>
      <c r="D213" s="126"/>
      <c r="E213" s="126"/>
      <c r="F213" s="126"/>
      <c r="G213" s="126"/>
      <c r="H213" s="126"/>
      <c r="I213" s="126"/>
      <c r="J213" s="126"/>
      <c r="K213" s="126"/>
      <c r="L213" s="126"/>
      <c r="M213" s="126"/>
    </row>
    <row r="214" spans="2:13">
      <c r="B214" s="126"/>
      <c r="C214" s="126"/>
      <c r="D214" s="126"/>
      <c r="E214" s="126"/>
      <c r="F214" s="126"/>
      <c r="G214" s="126"/>
      <c r="H214" s="126"/>
      <c r="I214" s="126"/>
      <c r="J214" s="126"/>
      <c r="K214" s="126"/>
      <c r="L214" s="126"/>
      <c r="M214" s="126"/>
    </row>
    <row r="215" spans="2:13">
      <c r="B215" s="126"/>
      <c r="C215" s="126"/>
      <c r="D215" s="126"/>
      <c r="E215" s="126"/>
      <c r="F215" s="126"/>
      <c r="G215" s="126"/>
      <c r="H215" s="126"/>
      <c r="I215" s="126"/>
      <c r="J215" s="126"/>
      <c r="K215" s="126"/>
      <c r="L215" s="126"/>
      <c r="M215" s="126"/>
    </row>
    <row r="216" spans="2:13">
      <c r="B216" s="126"/>
      <c r="C216" s="126"/>
      <c r="D216" s="126"/>
      <c r="E216" s="126"/>
      <c r="F216" s="126"/>
      <c r="G216" s="126"/>
      <c r="H216" s="126"/>
      <c r="I216" s="126"/>
      <c r="J216" s="126"/>
      <c r="K216" s="126"/>
      <c r="L216" s="126"/>
      <c r="M216" s="126"/>
    </row>
    <row r="217" spans="2:13">
      <c r="B217" s="126"/>
      <c r="C217" s="126"/>
      <c r="D217" s="126"/>
      <c r="E217" s="126"/>
      <c r="F217" s="126"/>
      <c r="G217" s="126"/>
      <c r="H217" s="126"/>
      <c r="I217" s="126"/>
      <c r="J217" s="126"/>
      <c r="K217" s="126"/>
      <c r="L217" s="126"/>
      <c r="M217" s="126"/>
    </row>
    <row r="218" spans="2:13">
      <c r="B218" s="126"/>
      <c r="C218" s="126"/>
      <c r="D218" s="126"/>
      <c r="E218" s="126"/>
      <c r="F218" s="126"/>
      <c r="G218" s="126"/>
      <c r="H218" s="126"/>
      <c r="I218" s="126"/>
      <c r="J218" s="126"/>
      <c r="K218" s="126"/>
      <c r="L218" s="126"/>
      <c r="M218" s="126"/>
    </row>
    <row r="219" spans="2:13">
      <c r="B219" s="126"/>
      <c r="C219" s="126"/>
      <c r="D219" s="126"/>
      <c r="E219" s="126"/>
      <c r="F219" s="126"/>
      <c r="G219" s="126"/>
      <c r="H219" s="126"/>
      <c r="I219" s="126"/>
      <c r="J219" s="126"/>
      <c r="K219" s="126"/>
      <c r="L219" s="126"/>
      <c r="M219" s="126"/>
    </row>
    <row r="220" spans="2:13">
      <c r="B220" s="126"/>
      <c r="C220" s="126"/>
      <c r="D220" s="126"/>
      <c r="E220" s="126"/>
      <c r="F220" s="126"/>
      <c r="G220" s="126"/>
      <c r="H220" s="126"/>
      <c r="I220" s="126"/>
      <c r="J220" s="126"/>
      <c r="K220" s="126"/>
      <c r="L220" s="126"/>
      <c r="M220" s="126"/>
    </row>
    <row r="221" spans="2:13">
      <c r="B221" s="126"/>
      <c r="C221" s="126"/>
      <c r="D221" s="126"/>
      <c r="E221" s="126"/>
      <c r="F221" s="126"/>
      <c r="G221" s="126"/>
      <c r="H221" s="126"/>
      <c r="I221" s="126"/>
      <c r="J221" s="126"/>
      <c r="K221" s="126"/>
      <c r="L221" s="126"/>
      <c r="M221" s="126"/>
    </row>
    <row r="222" spans="2:13">
      <c r="B222" s="126"/>
      <c r="C222" s="126"/>
      <c r="D222" s="126"/>
      <c r="E222" s="126"/>
      <c r="F222" s="126"/>
      <c r="G222" s="126"/>
      <c r="H222" s="126"/>
      <c r="I222" s="126"/>
      <c r="J222" s="126"/>
      <c r="K222" s="126"/>
      <c r="L222" s="126"/>
      <c r="M222" s="126"/>
    </row>
    <row r="223" spans="2:13">
      <c r="B223" s="126"/>
      <c r="C223" s="126"/>
      <c r="D223" s="126"/>
      <c r="E223" s="126"/>
      <c r="F223" s="126"/>
      <c r="G223" s="126"/>
      <c r="H223" s="126"/>
      <c r="I223" s="126"/>
      <c r="J223" s="126"/>
      <c r="K223" s="126"/>
      <c r="L223" s="126"/>
      <c r="M223" s="126"/>
    </row>
    <row r="224" spans="2:13">
      <c r="B224" s="126"/>
      <c r="C224" s="126"/>
      <c r="D224" s="126"/>
      <c r="E224" s="126"/>
      <c r="F224" s="126"/>
      <c r="G224" s="126"/>
      <c r="H224" s="126"/>
      <c r="I224" s="126"/>
      <c r="J224" s="126"/>
      <c r="K224" s="126"/>
      <c r="L224" s="126"/>
      <c r="M224" s="126"/>
    </row>
    <row r="225" spans="2:13">
      <c r="B225" s="126"/>
      <c r="C225" s="126"/>
      <c r="D225" s="126"/>
      <c r="E225" s="126"/>
      <c r="F225" s="126"/>
      <c r="G225" s="126"/>
      <c r="H225" s="126"/>
      <c r="I225" s="126"/>
      <c r="J225" s="126"/>
      <c r="K225" s="126"/>
      <c r="L225" s="126"/>
      <c r="M225" s="126"/>
    </row>
    <row r="226" spans="2:13">
      <c r="B226" s="126"/>
      <c r="C226" s="126"/>
      <c r="D226" s="126"/>
      <c r="E226" s="126"/>
      <c r="F226" s="126"/>
      <c r="G226" s="126"/>
      <c r="H226" s="126"/>
      <c r="I226" s="126"/>
      <c r="J226" s="126"/>
      <c r="K226" s="126"/>
      <c r="L226" s="126"/>
      <c r="M226" s="126"/>
    </row>
    <row r="227" spans="2:13">
      <c r="B227" s="126"/>
      <c r="C227" s="126"/>
      <c r="D227" s="126"/>
      <c r="E227" s="126"/>
      <c r="F227" s="126"/>
      <c r="G227" s="126"/>
      <c r="H227" s="126"/>
      <c r="I227" s="126"/>
      <c r="J227" s="126"/>
      <c r="K227" s="126"/>
      <c r="L227" s="126"/>
      <c r="M227" s="126"/>
    </row>
    <row r="228" spans="2:13">
      <c r="B228" s="126"/>
      <c r="C228" s="126"/>
      <c r="D228" s="126"/>
      <c r="E228" s="126"/>
      <c r="F228" s="126"/>
      <c r="G228" s="126"/>
      <c r="H228" s="126"/>
      <c r="I228" s="126"/>
      <c r="J228" s="126"/>
      <c r="K228" s="126"/>
      <c r="L228" s="126"/>
      <c r="M228" s="126"/>
    </row>
    <row r="229" spans="2:13">
      <c r="B229" s="126"/>
      <c r="C229" s="126"/>
      <c r="D229" s="126"/>
      <c r="E229" s="126"/>
      <c r="F229" s="126"/>
      <c r="G229" s="126"/>
      <c r="H229" s="126"/>
      <c r="I229" s="126"/>
      <c r="J229" s="126"/>
      <c r="K229" s="126"/>
      <c r="L229" s="126"/>
      <c r="M229" s="126"/>
    </row>
    <row r="230" spans="2:13">
      <c r="B230" s="126"/>
      <c r="C230" s="126"/>
      <c r="D230" s="126"/>
      <c r="E230" s="126"/>
      <c r="F230" s="126"/>
      <c r="G230" s="126"/>
      <c r="H230" s="126"/>
      <c r="I230" s="126"/>
      <c r="J230" s="126"/>
      <c r="K230" s="126"/>
      <c r="L230" s="126"/>
      <c r="M230" s="126"/>
    </row>
    <row r="231" spans="2:13">
      <c r="B231" s="126"/>
      <c r="C231" s="126"/>
      <c r="D231" s="126"/>
      <c r="E231" s="126"/>
      <c r="F231" s="126"/>
      <c r="G231" s="126"/>
      <c r="H231" s="126"/>
      <c r="I231" s="126"/>
      <c r="J231" s="126"/>
      <c r="K231" s="126"/>
      <c r="L231" s="126"/>
      <c r="M231" s="126"/>
    </row>
    <row r="232" spans="2:13">
      <c r="B232" s="126"/>
      <c r="C232" s="126"/>
      <c r="D232" s="126"/>
      <c r="E232" s="126"/>
      <c r="F232" s="126"/>
      <c r="G232" s="126"/>
      <c r="H232" s="126"/>
      <c r="I232" s="126"/>
      <c r="J232" s="126"/>
      <c r="K232" s="126"/>
      <c r="L232" s="126"/>
      <c r="M232" s="126"/>
    </row>
    <row r="233" spans="2:13">
      <c r="B233" s="126"/>
      <c r="C233" s="126"/>
      <c r="D233" s="126"/>
      <c r="E233" s="126"/>
      <c r="F233" s="126"/>
      <c r="G233" s="126"/>
      <c r="H233" s="126"/>
      <c r="I233" s="126"/>
      <c r="J233" s="126"/>
      <c r="K233" s="126"/>
      <c r="L233" s="126"/>
      <c r="M233" s="126"/>
    </row>
    <row r="234" spans="2:13">
      <c r="B234" s="126"/>
      <c r="C234" s="126"/>
      <c r="D234" s="126"/>
      <c r="E234" s="126"/>
      <c r="F234" s="126"/>
      <c r="G234" s="126"/>
      <c r="H234" s="126"/>
      <c r="I234" s="126"/>
      <c r="J234" s="126"/>
      <c r="K234" s="126"/>
      <c r="L234" s="126"/>
      <c r="M234" s="126"/>
    </row>
    <row r="235" spans="2:13">
      <c r="B235" s="126"/>
      <c r="C235" s="126"/>
      <c r="D235" s="126"/>
      <c r="E235" s="126"/>
      <c r="F235" s="126"/>
      <c r="G235" s="126"/>
      <c r="H235" s="126"/>
      <c r="I235" s="126"/>
      <c r="J235" s="126"/>
      <c r="K235" s="126"/>
      <c r="L235" s="126"/>
      <c r="M235" s="126"/>
    </row>
    <row r="236" spans="2:13">
      <c r="B236" s="126"/>
      <c r="C236" s="126"/>
      <c r="D236" s="126"/>
      <c r="E236" s="126"/>
      <c r="F236" s="126"/>
      <c r="G236" s="126"/>
      <c r="H236" s="126"/>
      <c r="I236" s="126"/>
      <c r="J236" s="126"/>
      <c r="K236" s="126"/>
      <c r="L236" s="126"/>
      <c r="M236" s="126"/>
    </row>
    <row r="237" spans="2:13">
      <c r="B237" s="126"/>
      <c r="C237" s="126"/>
      <c r="D237" s="126"/>
      <c r="E237" s="126"/>
      <c r="F237" s="126"/>
      <c r="G237" s="126"/>
      <c r="H237" s="126"/>
      <c r="I237" s="126"/>
      <c r="J237" s="126"/>
      <c r="K237" s="126"/>
      <c r="L237" s="126"/>
      <c r="M237" s="126"/>
    </row>
    <row r="238" spans="2:13">
      <c r="B238" s="126"/>
      <c r="C238" s="126"/>
      <c r="D238" s="126"/>
      <c r="E238" s="126"/>
      <c r="F238" s="126"/>
      <c r="G238" s="126"/>
      <c r="H238" s="126"/>
      <c r="I238" s="126"/>
      <c r="J238" s="126"/>
      <c r="K238" s="126"/>
      <c r="L238" s="126"/>
      <c r="M238" s="126"/>
    </row>
    <row r="239" spans="2:13">
      <c r="B239" s="126"/>
      <c r="C239" s="126"/>
      <c r="D239" s="126"/>
      <c r="E239" s="126"/>
      <c r="F239" s="126"/>
      <c r="G239" s="126"/>
      <c r="H239" s="126"/>
      <c r="I239" s="126"/>
      <c r="J239" s="126"/>
      <c r="K239" s="126"/>
      <c r="L239" s="126"/>
      <c r="M239" s="126"/>
    </row>
    <row r="240" spans="2:13">
      <c r="B240" s="126"/>
      <c r="C240" s="126"/>
      <c r="D240" s="126"/>
      <c r="E240" s="126"/>
      <c r="F240" s="126"/>
      <c r="G240" s="126"/>
      <c r="H240" s="126"/>
      <c r="I240" s="126"/>
      <c r="J240" s="126"/>
      <c r="K240" s="126"/>
      <c r="L240" s="126"/>
      <c r="M240" s="126"/>
    </row>
    <row r="241" spans="2:13">
      <c r="B241" s="126"/>
      <c r="C241" s="126"/>
      <c r="D241" s="126"/>
      <c r="E241" s="126"/>
      <c r="F241" s="126"/>
      <c r="G241" s="126"/>
      <c r="H241" s="126"/>
      <c r="I241" s="126"/>
      <c r="J241" s="126"/>
      <c r="K241" s="126"/>
      <c r="L241" s="126"/>
      <c r="M241" s="126"/>
    </row>
    <row r="242" spans="2:13">
      <c r="B242" s="126"/>
      <c r="C242" s="126"/>
      <c r="D242" s="126"/>
      <c r="E242" s="126"/>
      <c r="F242" s="126"/>
      <c r="G242" s="126"/>
      <c r="H242" s="126"/>
      <c r="I242" s="126"/>
      <c r="J242" s="126"/>
      <c r="K242" s="126"/>
      <c r="L242" s="126"/>
      <c r="M242" s="126"/>
    </row>
    <row r="243" spans="2:13">
      <c r="B243" s="126"/>
      <c r="C243" s="126"/>
      <c r="D243" s="126"/>
      <c r="E243" s="126"/>
      <c r="F243" s="126"/>
      <c r="G243" s="126"/>
      <c r="H243" s="126"/>
      <c r="I243" s="126"/>
      <c r="J243" s="126"/>
      <c r="K243" s="126"/>
      <c r="L243" s="126"/>
      <c r="M243" s="126"/>
    </row>
    <row r="244" spans="2:13">
      <c r="B244" s="126"/>
      <c r="C244" s="126"/>
      <c r="D244" s="126"/>
      <c r="E244" s="126"/>
      <c r="F244" s="126"/>
      <c r="G244" s="126"/>
      <c r="H244" s="126"/>
      <c r="I244" s="126"/>
      <c r="J244" s="126"/>
      <c r="K244" s="126"/>
      <c r="L244" s="126"/>
      <c r="M244" s="126"/>
    </row>
    <row r="245" spans="2:13">
      <c r="B245" s="126"/>
      <c r="C245" s="126"/>
      <c r="D245" s="126"/>
      <c r="E245" s="126"/>
      <c r="F245" s="126"/>
      <c r="G245" s="126"/>
      <c r="H245" s="126"/>
      <c r="I245" s="126"/>
      <c r="J245" s="126"/>
      <c r="K245" s="126"/>
      <c r="L245" s="126"/>
      <c r="M245" s="126"/>
    </row>
    <row r="246" spans="2:13">
      <c r="B246" s="126"/>
      <c r="C246" s="126"/>
      <c r="D246" s="126"/>
      <c r="E246" s="126"/>
      <c r="F246" s="126"/>
      <c r="G246" s="126"/>
      <c r="H246" s="126"/>
      <c r="I246" s="126"/>
      <c r="J246" s="126"/>
      <c r="K246" s="126"/>
      <c r="L246" s="126"/>
      <c r="M246" s="126"/>
    </row>
    <row r="247" spans="2:13">
      <c r="B247" s="126"/>
      <c r="C247" s="126"/>
      <c r="D247" s="126"/>
      <c r="E247" s="126"/>
      <c r="F247" s="126"/>
      <c r="G247" s="126"/>
      <c r="H247" s="126"/>
      <c r="I247" s="126"/>
      <c r="J247" s="126"/>
      <c r="K247" s="126"/>
      <c r="L247" s="126"/>
      <c r="M247" s="126"/>
    </row>
    <row r="248" spans="2:13">
      <c r="B248" s="126"/>
      <c r="C248" s="126"/>
      <c r="D248" s="126"/>
      <c r="E248" s="126"/>
      <c r="F248" s="126"/>
      <c r="G248" s="126"/>
      <c r="H248" s="126"/>
      <c r="I248" s="126"/>
      <c r="J248" s="126"/>
      <c r="K248" s="126"/>
      <c r="L248" s="126"/>
      <c r="M248" s="126"/>
    </row>
    <row r="249" spans="2:13">
      <c r="B249" s="126"/>
      <c r="C249" s="126"/>
      <c r="D249" s="126"/>
      <c r="E249" s="126"/>
      <c r="F249" s="126"/>
      <c r="G249" s="126"/>
      <c r="H249" s="126"/>
      <c r="I249" s="126"/>
      <c r="J249" s="126"/>
      <c r="K249" s="126"/>
      <c r="L249" s="126"/>
      <c r="M249" s="126"/>
    </row>
    <row r="250" spans="2:13">
      <c r="B250" s="126"/>
      <c r="C250" s="126"/>
      <c r="D250" s="126"/>
      <c r="E250" s="126"/>
      <c r="F250" s="126"/>
      <c r="G250" s="126"/>
      <c r="H250" s="126"/>
      <c r="I250" s="126"/>
      <c r="J250" s="126"/>
      <c r="K250" s="126"/>
      <c r="L250" s="126"/>
      <c r="M250" s="126"/>
    </row>
    <row r="251" spans="2:13">
      <c r="B251" s="126"/>
      <c r="C251" s="126"/>
      <c r="D251" s="126"/>
      <c r="E251" s="126"/>
      <c r="F251" s="126"/>
      <c r="G251" s="126"/>
      <c r="H251" s="126"/>
      <c r="I251" s="126"/>
      <c r="J251" s="126"/>
      <c r="K251" s="126"/>
      <c r="L251" s="126"/>
      <c r="M251" s="126"/>
    </row>
    <row r="252" spans="2:13">
      <c r="B252" s="126"/>
      <c r="C252" s="126"/>
      <c r="D252" s="126"/>
      <c r="E252" s="126"/>
      <c r="F252" s="126"/>
      <c r="G252" s="126"/>
      <c r="H252" s="126"/>
      <c r="I252" s="126"/>
      <c r="J252" s="126"/>
      <c r="K252" s="126"/>
      <c r="L252" s="126"/>
      <c r="M252" s="126"/>
    </row>
    <row r="253" spans="2:13">
      <c r="B253" s="126"/>
      <c r="C253" s="126"/>
      <c r="D253" s="126"/>
      <c r="E253" s="126"/>
      <c r="F253" s="126"/>
      <c r="G253" s="126"/>
      <c r="H253" s="126"/>
      <c r="I253" s="126"/>
      <c r="J253" s="126"/>
      <c r="K253" s="126"/>
      <c r="L253" s="126"/>
      <c r="M253" s="126"/>
    </row>
    <row r="254" spans="2:13">
      <c r="B254" s="126"/>
      <c r="C254" s="126"/>
      <c r="D254" s="126"/>
      <c r="E254" s="126"/>
      <c r="F254" s="126"/>
      <c r="G254" s="126"/>
      <c r="H254" s="126"/>
      <c r="I254" s="126"/>
      <c r="J254" s="126"/>
      <c r="K254" s="126"/>
      <c r="L254" s="126"/>
      <c r="M254" s="126"/>
    </row>
    <row r="255" spans="2:13">
      <c r="B255" s="126"/>
      <c r="C255" s="126"/>
      <c r="D255" s="126"/>
      <c r="E255" s="126"/>
      <c r="F255" s="126"/>
      <c r="G255" s="126"/>
      <c r="H255" s="126"/>
      <c r="I255" s="126"/>
      <c r="J255" s="126"/>
      <c r="K255" s="126"/>
      <c r="L255" s="126"/>
      <c r="M255" s="126"/>
    </row>
    <row r="256" spans="2:13">
      <c r="B256" s="126"/>
      <c r="C256" s="126"/>
      <c r="D256" s="126"/>
      <c r="E256" s="126"/>
      <c r="F256" s="126"/>
      <c r="G256" s="126"/>
      <c r="H256" s="126"/>
      <c r="I256" s="126"/>
      <c r="J256" s="126"/>
      <c r="K256" s="126"/>
      <c r="L256" s="126"/>
      <c r="M256" s="126"/>
    </row>
    <row r="257" spans="2:13">
      <c r="B257" s="126"/>
      <c r="C257" s="126"/>
      <c r="D257" s="126"/>
      <c r="E257" s="126"/>
      <c r="F257" s="126"/>
      <c r="G257" s="126"/>
      <c r="H257" s="126"/>
      <c r="I257" s="126"/>
      <c r="J257" s="126"/>
      <c r="K257" s="126"/>
      <c r="L257" s="126"/>
      <c r="M257" s="126"/>
    </row>
    <row r="258" spans="2:13">
      <c r="B258" s="126"/>
      <c r="C258" s="126"/>
      <c r="D258" s="126"/>
      <c r="E258" s="126"/>
      <c r="F258" s="126"/>
      <c r="G258" s="126"/>
      <c r="H258" s="126"/>
      <c r="I258" s="126"/>
      <c r="J258" s="126"/>
      <c r="K258" s="126"/>
      <c r="L258" s="126"/>
      <c r="M258" s="126"/>
    </row>
    <row r="259" spans="2:13">
      <c r="B259" s="126"/>
      <c r="C259" s="126"/>
      <c r="D259" s="126"/>
      <c r="E259" s="126"/>
      <c r="F259" s="126"/>
      <c r="G259" s="126"/>
      <c r="H259" s="126"/>
      <c r="I259" s="126"/>
      <c r="J259" s="126"/>
      <c r="K259" s="126"/>
      <c r="L259" s="126"/>
      <c r="M259" s="126"/>
    </row>
    <row r="260" spans="2:13">
      <c r="B260" s="126"/>
      <c r="C260" s="126"/>
      <c r="D260" s="126"/>
      <c r="E260" s="126"/>
      <c r="F260" s="126"/>
      <c r="G260" s="126"/>
      <c r="H260" s="126"/>
      <c r="I260" s="126"/>
      <c r="J260" s="126"/>
      <c r="K260" s="126"/>
      <c r="L260" s="126"/>
      <c r="M260" s="126"/>
    </row>
    <row r="261" spans="2:13">
      <c r="B261" s="126"/>
      <c r="C261" s="126"/>
      <c r="D261" s="126"/>
      <c r="E261" s="126"/>
      <c r="F261" s="126"/>
      <c r="G261" s="126"/>
      <c r="H261" s="126"/>
      <c r="I261" s="126"/>
      <c r="J261" s="126"/>
      <c r="K261" s="126"/>
      <c r="L261" s="126"/>
      <c r="M261" s="126"/>
    </row>
    <row r="262" spans="2:13">
      <c r="B262" s="126"/>
      <c r="C262" s="126"/>
      <c r="D262" s="126"/>
      <c r="E262" s="126"/>
      <c r="F262" s="126"/>
      <c r="G262" s="126"/>
      <c r="H262" s="126"/>
      <c r="I262" s="126"/>
      <c r="J262" s="126"/>
      <c r="K262" s="126"/>
      <c r="L262" s="126"/>
      <c r="M262" s="126"/>
    </row>
    <row r="263" spans="2:13">
      <c r="B263" s="126"/>
      <c r="C263" s="126"/>
      <c r="D263" s="126"/>
      <c r="E263" s="126"/>
      <c r="F263" s="126"/>
      <c r="G263" s="126"/>
      <c r="H263" s="126"/>
      <c r="I263" s="126"/>
      <c r="J263" s="126"/>
      <c r="K263" s="126"/>
      <c r="L263" s="126"/>
      <c r="M263" s="126"/>
    </row>
    <row r="264" spans="2:13">
      <c r="B264" s="126"/>
      <c r="C264" s="126"/>
      <c r="D264" s="126"/>
      <c r="E264" s="126"/>
      <c r="F264" s="126"/>
      <c r="G264" s="126"/>
      <c r="H264" s="126"/>
      <c r="I264" s="126"/>
      <c r="J264" s="126"/>
      <c r="K264" s="126"/>
      <c r="L264" s="126"/>
      <c r="M264" s="126"/>
    </row>
    <row r="265" spans="2:13">
      <c r="B265" s="126"/>
      <c r="C265" s="126"/>
      <c r="D265" s="126"/>
      <c r="E265" s="126"/>
      <c r="F265" s="126"/>
      <c r="G265" s="126"/>
      <c r="H265" s="126"/>
      <c r="I265" s="126"/>
      <c r="J265" s="126"/>
      <c r="K265" s="126"/>
      <c r="L265" s="126"/>
      <c r="M265" s="126"/>
    </row>
    <row r="266" spans="2:13">
      <c r="B266" s="126"/>
      <c r="C266" s="126"/>
      <c r="D266" s="126"/>
      <c r="E266" s="126"/>
      <c r="F266" s="126"/>
      <c r="G266" s="126"/>
      <c r="H266" s="126"/>
      <c r="I266" s="126"/>
      <c r="J266" s="126"/>
      <c r="K266" s="126"/>
      <c r="L266" s="126"/>
      <c r="M266" s="126"/>
    </row>
    <row r="267" spans="2:13">
      <c r="B267" s="126"/>
      <c r="C267" s="126"/>
      <c r="D267" s="126"/>
      <c r="E267" s="126"/>
      <c r="F267" s="126"/>
      <c r="G267" s="126"/>
      <c r="H267" s="126"/>
      <c r="I267" s="126"/>
      <c r="J267" s="126"/>
      <c r="K267" s="126"/>
      <c r="L267" s="126"/>
      <c r="M267" s="126"/>
    </row>
    <row r="268" spans="2:13">
      <c r="B268" s="126"/>
      <c r="C268" s="126"/>
      <c r="D268" s="126"/>
      <c r="E268" s="126"/>
      <c r="F268" s="126"/>
      <c r="G268" s="126"/>
      <c r="H268" s="126"/>
      <c r="I268" s="126"/>
      <c r="J268" s="126"/>
      <c r="K268" s="126"/>
      <c r="L268" s="126"/>
      <c r="M268" s="126"/>
    </row>
    <row r="269" spans="2:13">
      <c r="B269" s="126"/>
      <c r="C269" s="126"/>
      <c r="D269" s="126"/>
      <c r="E269" s="126"/>
      <c r="F269" s="126"/>
      <c r="G269" s="126"/>
      <c r="H269" s="126"/>
      <c r="I269" s="126"/>
      <c r="J269" s="126"/>
      <c r="K269" s="126"/>
      <c r="L269" s="126"/>
      <c r="M269" s="126"/>
    </row>
    <row r="270" spans="2:13">
      <c r="B270" s="126"/>
      <c r="C270" s="126"/>
      <c r="D270" s="126"/>
      <c r="E270" s="126"/>
      <c r="F270" s="126"/>
      <c r="G270" s="126"/>
      <c r="H270" s="126"/>
      <c r="I270" s="126"/>
      <c r="J270" s="126"/>
      <c r="K270" s="126"/>
      <c r="L270" s="126"/>
      <c r="M270" s="126"/>
    </row>
    <row r="271" spans="2:13">
      <c r="B271" s="126"/>
      <c r="C271" s="126"/>
      <c r="D271" s="126"/>
      <c r="E271" s="126"/>
      <c r="F271" s="126"/>
      <c r="G271" s="126"/>
      <c r="H271" s="126"/>
      <c r="I271" s="126"/>
      <c r="J271" s="126"/>
      <c r="K271" s="126"/>
      <c r="L271" s="126"/>
      <c r="M271" s="126"/>
    </row>
    <row r="272" spans="2:13">
      <c r="B272" s="126"/>
      <c r="C272" s="126"/>
      <c r="D272" s="126"/>
      <c r="E272" s="126"/>
      <c r="F272" s="126"/>
      <c r="G272" s="126"/>
      <c r="H272" s="126"/>
      <c r="I272" s="126"/>
      <c r="J272" s="126"/>
      <c r="K272" s="126"/>
      <c r="L272" s="126"/>
      <c r="M272" s="126"/>
    </row>
    <row r="273" spans="2:13">
      <c r="B273" s="126"/>
      <c r="C273" s="126"/>
      <c r="D273" s="126"/>
      <c r="E273" s="126"/>
      <c r="F273" s="126"/>
      <c r="G273" s="126"/>
      <c r="H273" s="126"/>
      <c r="I273" s="126"/>
      <c r="J273" s="126"/>
      <c r="K273" s="126"/>
      <c r="L273" s="126"/>
      <c r="M273" s="126"/>
    </row>
    <row r="274" spans="2:13">
      <c r="B274" s="126"/>
      <c r="C274" s="126"/>
      <c r="D274" s="126"/>
      <c r="E274" s="126"/>
      <c r="F274" s="126"/>
      <c r="G274" s="126"/>
      <c r="H274" s="126"/>
      <c r="I274" s="126"/>
      <c r="J274" s="126"/>
      <c r="K274" s="126"/>
      <c r="L274" s="126"/>
      <c r="M274" s="126"/>
    </row>
    <row r="275" spans="2:13">
      <c r="B275" s="126"/>
      <c r="C275" s="126"/>
      <c r="D275" s="126"/>
      <c r="E275" s="126"/>
      <c r="F275" s="126"/>
      <c r="G275" s="126"/>
      <c r="H275" s="126"/>
      <c r="I275" s="126"/>
      <c r="J275" s="126"/>
      <c r="K275" s="126"/>
      <c r="L275" s="126"/>
      <c r="M275" s="126"/>
    </row>
    <row r="276" spans="2:13">
      <c r="B276" s="126"/>
      <c r="C276" s="126"/>
      <c r="D276" s="126"/>
      <c r="E276" s="126"/>
      <c r="F276" s="126"/>
      <c r="G276" s="126"/>
      <c r="H276" s="126"/>
      <c r="I276" s="126"/>
      <c r="J276" s="126"/>
      <c r="K276" s="126"/>
      <c r="L276" s="126"/>
      <c r="M276" s="126"/>
    </row>
    <row r="277" spans="2:13">
      <c r="B277" s="126"/>
      <c r="C277" s="126"/>
      <c r="D277" s="126"/>
      <c r="E277" s="126"/>
      <c r="F277" s="126"/>
      <c r="G277" s="126"/>
      <c r="H277" s="126"/>
      <c r="I277" s="126"/>
      <c r="J277" s="126"/>
      <c r="K277" s="126"/>
      <c r="L277" s="126"/>
      <c r="M277" s="126"/>
    </row>
    <row r="278" spans="2:13">
      <c r="B278" s="126"/>
      <c r="C278" s="126"/>
      <c r="D278" s="126"/>
      <c r="E278" s="126"/>
      <c r="F278" s="126"/>
      <c r="G278" s="126"/>
      <c r="H278" s="126"/>
      <c r="I278" s="126"/>
      <c r="J278" s="126"/>
      <c r="K278" s="126"/>
      <c r="L278" s="126"/>
      <c r="M278" s="126"/>
    </row>
    <row r="279" spans="2:13">
      <c r="B279" s="126"/>
      <c r="C279" s="126"/>
      <c r="D279" s="126"/>
      <c r="E279" s="126"/>
      <c r="F279" s="126"/>
      <c r="G279" s="126"/>
      <c r="H279" s="126"/>
      <c r="I279" s="126"/>
      <c r="J279" s="126"/>
      <c r="K279" s="126"/>
      <c r="L279" s="126"/>
      <c r="M279" s="126"/>
    </row>
    <row r="280" spans="2:13">
      <c r="B280" s="126"/>
      <c r="C280" s="126"/>
      <c r="D280" s="126"/>
      <c r="E280" s="126"/>
      <c r="F280" s="126"/>
      <c r="G280" s="126"/>
      <c r="H280" s="126"/>
      <c r="I280" s="126"/>
      <c r="J280" s="126"/>
      <c r="K280" s="126"/>
      <c r="L280" s="126"/>
      <c r="M280" s="126"/>
    </row>
    <row r="281" spans="2:13">
      <c r="B281" s="126"/>
      <c r="C281" s="126"/>
      <c r="D281" s="126"/>
      <c r="E281" s="126"/>
      <c r="F281" s="126"/>
      <c r="G281" s="126"/>
      <c r="H281" s="126"/>
      <c r="I281" s="126"/>
      <c r="J281" s="126"/>
      <c r="K281" s="126"/>
      <c r="L281" s="126"/>
      <c r="M281" s="126"/>
    </row>
    <row r="282" spans="2:13">
      <c r="B282" s="126"/>
      <c r="C282" s="126"/>
      <c r="D282" s="126"/>
      <c r="E282" s="126"/>
      <c r="F282" s="126"/>
      <c r="G282" s="126"/>
      <c r="H282" s="126"/>
      <c r="I282" s="126"/>
      <c r="J282" s="126"/>
      <c r="K282" s="126"/>
      <c r="L282" s="126"/>
      <c r="M282" s="126"/>
    </row>
    <row r="283" spans="2:13">
      <c r="B283" s="126"/>
      <c r="C283" s="126"/>
      <c r="D283" s="126"/>
      <c r="E283" s="126"/>
      <c r="F283" s="126"/>
      <c r="G283" s="126"/>
      <c r="H283" s="126"/>
      <c r="I283" s="126"/>
      <c r="J283" s="126"/>
      <c r="K283" s="126"/>
      <c r="L283" s="126"/>
      <c r="M283" s="126"/>
    </row>
    <row r="284" spans="2:13">
      <c r="B284" s="126"/>
      <c r="C284" s="126"/>
      <c r="D284" s="126"/>
      <c r="E284" s="126"/>
      <c r="F284" s="126"/>
      <c r="G284" s="126"/>
      <c r="H284" s="126"/>
      <c r="I284" s="126"/>
      <c r="J284" s="126"/>
      <c r="K284" s="126"/>
      <c r="L284" s="126"/>
      <c r="M284" s="126"/>
    </row>
    <row r="285" spans="2:13">
      <c r="B285" s="126"/>
      <c r="C285" s="126"/>
      <c r="D285" s="126"/>
      <c r="E285" s="126"/>
      <c r="F285" s="126"/>
      <c r="G285" s="126"/>
      <c r="H285" s="126"/>
      <c r="I285" s="126"/>
      <c r="J285" s="126"/>
      <c r="K285" s="126"/>
      <c r="L285" s="126"/>
      <c r="M285" s="126"/>
    </row>
    <row r="286" spans="2:13">
      <c r="B286" s="126"/>
      <c r="C286" s="126"/>
      <c r="D286" s="126"/>
      <c r="E286" s="126"/>
      <c r="F286" s="126"/>
      <c r="G286" s="126"/>
      <c r="H286" s="126"/>
      <c r="I286" s="126"/>
      <c r="J286" s="126"/>
      <c r="K286" s="126"/>
      <c r="L286" s="126"/>
      <c r="M286" s="126"/>
    </row>
    <row r="287" spans="2:13">
      <c r="B287" s="126"/>
      <c r="C287" s="126"/>
      <c r="D287" s="126"/>
      <c r="E287" s="126"/>
      <c r="F287" s="126"/>
      <c r="G287" s="126"/>
      <c r="H287" s="126"/>
      <c r="I287" s="126"/>
      <c r="J287" s="126"/>
      <c r="K287" s="126"/>
      <c r="L287" s="126"/>
      <c r="M287" s="126"/>
    </row>
    <row r="288" spans="2:13">
      <c r="B288" s="126"/>
      <c r="C288" s="126"/>
      <c r="D288" s="126"/>
      <c r="E288" s="126"/>
      <c r="F288" s="126"/>
      <c r="G288" s="126"/>
      <c r="H288" s="126"/>
      <c r="I288" s="126"/>
      <c r="J288" s="126"/>
      <c r="K288" s="126"/>
      <c r="L288" s="126"/>
      <c r="M288" s="126"/>
    </row>
    <row r="289" spans="2:13">
      <c r="B289" s="126"/>
      <c r="C289" s="126"/>
      <c r="D289" s="126"/>
      <c r="E289" s="126"/>
      <c r="F289" s="126"/>
      <c r="G289" s="126"/>
      <c r="H289" s="126"/>
      <c r="I289" s="126"/>
      <c r="J289" s="126"/>
      <c r="K289" s="126"/>
      <c r="L289" s="126"/>
      <c r="M289" s="126"/>
    </row>
    <row r="290" spans="2:13">
      <c r="B290" s="126"/>
      <c r="C290" s="126"/>
      <c r="D290" s="126"/>
      <c r="E290" s="126"/>
      <c r="F290" s="126"/>
      <c r="G290" s="126"/>
      <c r="H290" s="126"/>
      <c r="I290" s="126"/>
      <c r="J290" s="126"/>
      <c r="K290" s="126"/>
      <c r="L290" s="126"/>
      <c r="M290" s="126"/>
    </row>
    <row r="291" spans="2:13">
      <c r="B291" s="126"/>
      <c r="C291" s="126"/>
      <c r="D291" s="126"/>
      <c r="E291" s="126"/>
      <c r="F291" s="126"/>
      <c r="G291" s="126"/>
      <c r="H291" s="126"/>
      <c r="I291" s="126"/>
      <c r="J291" s="126"/>
      <c r="K291" s="126"/>
      <c r="L291" s="126"/>
      <c r="M291" s="126"/>
    </row>
    <row r="292" spans="2:13">
      <c r="B292" s="126"/>
      <c r="C292" s="126"/>
      <c r="D292" s="126"/>
      <c r="E292" s="126"/>
      <c r="F292" s="126"/>
      <c r="G292" s="126"/>
      <c r="H292" s="126"/>
      <c r="I292" s="126"/>
      <c r="J292" s="126"/>
      <c r="K292" s="126"/>
      <c r="L292" s="126"/>
      <c r="M292" s="126"/>
    </row>
    <row r="293" spans="2:13">
      <c r="B293" s="126"/>
      <c r="C293" s="126"/>
      <c r="D293" s="126"/>
      <c r="E293" s="126"/>
      <c r="F293" s="126"/>
      <c r="G293" s="126"/>
      <c r="H293" s="126"/>
      <c r="I293" s="126"/>
      <c r="J293" s="126"/>
      <c r="K293" s="126"/>
      <c r="L293" s="126"/>
      <c r="M293" s="126"/>
    </row>
    <row r="294" spans="2:13">
      <c r="B294" s="126"/>
      <c r="C294" s="126"/>
      <c r="D294" s="126"/>
      <c r="E294" s="126"/>
      <c r="F294" s="126"/>
      <c r="G294" s="126"/>
      <c r="H294" s="126"/>
      <c r="I294" s="126"/>
      <c r="J294" s="126"/>
      <c r="K294" s="126"/>
      <c r="L294" s="126"/>
      <c r="M294" s="126"/>
    </row>
    <row r="295" spans="2:13">
      <c r="B295" s="126"/>
      <c r="C295" s="126"/>
      <c r="D295" s="126"/>
      <c r="E295" s="126"/>
      <c r="F295" s="126"/>
      <c r="G295" s="126"/>
      <c r="H295" s="126"/>
      <c r="I295" s="126"/>
      <c r="J295" s="126"/>
      <c r="K295" s="126"/>
      <c r="L295" s="126"/>
      <c r="M295" s="126"/>
    </row>
    <row r="296" spans="2:13">
      <c r="B296" s="126"/>
      <c r="C296" s="126"/>
      <c r="D296" s="126"/>
      <c r="E296" s="126"/>
      <c r="F296" s="126"/>
      <c r="G296" s="126"/>
      <c r="H296" s="126"/>
      <c r="I296" s="126"/>
      <c r="J296" s="126"/>
      <c r="K296" s="126"/>
      <c r="L296" s="126"/>
      <c r="M296" s="126"/>
    </row>
    <row r="297" spans="2:13">
      <c r="B297" s="126"/>
      <c r="C297" s="126"/>
      <c r="D297" s="126"/>
      <c r="E297" s="126"/>
      <c r="F297" s="126"/>
      <c r="G297" s="126"/>
      <c r="H297" s="126"/>
      <c r="I297" s="126"/>
      <c r="J297" s="126"/>
      <c r="K297" s="126"/>
      <c r="L297" s="126"/>
      <c r="M297" s="126"/>
    </row>
    <row r="298" spans="2:13">
      <c r="B298" s="126"/>
      <c r="C298" s="126"/>
      <c r="D298" s="126"/>
      <c r="E298" s="126"/>
      <c r="F298" s="126"/>
      <c r="G298" s="126"/>
      <c r="H298" s="126"/>
      <c r="I298" s="126"/>
      <c r="J298" s="126"/>
      <c r="K298" s="126"/>
      <c r="L298" s="126"/>
      <c r="M298" s="126"/>
    </row>
    <row r="299" spans="2:13">
      <c r="B299" s="126"/>
      <c r="C299" s="126"/>
      <c r="D299" s="126"/>
      <c r="E299" s="126"/>
      <c r="F299" s="126"/>
      <c r="G299" s="126"/>
      <c r="H299" s="126"/>
      <c r="I299" s="126"/>
      <c r="J299" s="126"/>
      <c r="K299" s="126"/>
      <c r="L299" s="126"/>
      <c r="M299" s="126"/>
    </row>
    <row r="300" spans="2:13">
      <c r="B300" s="126"/>
      <c r="C300" s="126"/>
      <c r="D300" s="126"/>
      <c r="E300" s="126"/>
      <c r="F300" s="126"/>
      <c r="G300" s="126"/>
      <c r="H300" s="126"/>
      <c r="I300" s="126"/>
      <c r="J300" s="126"/>
      <c r="K300" s="126"/>
      <c r="L300" s="126"/>
      <c r="M300" s="126"/>
    </row>
    <row r="301" spans="2:13">
      <c r="B301" s="126"/>
      <c r="C301" s="126"/>
      <c r="D301" s="126"/>
      <c r="E301" s="126"/>
      <c r="F301" s="126"/>
      <c r="G301" s="126"/>
      <c r="H301" s="126"/>
      <c r="I301" s="126"/>
      <c r="J301" s="126"/>
      <c r="K301" s="126"/>
      <c r="L301" s="126"/>
      <c r="M301" s="126"/>
    </row>
    <row r="302" spans="2:13">
      <c r="B302" s="126"/>
      <c r="C302" s="126"/>
      <c r="D302" s="126"/>
      <c r="E302" s="126"/>
      <c r="F302" s="126"/>
      <c r="G302" s="126"/>
      <c r="H302" s="126"/>
      <c r="I302" s="126"/>
      <c r="J302" s="126"/>
      <c r="K302" s="126"/>
      <c r="L302" s="126"/>
      <c r="M302" s="126"/>
    </row>
    <row r="303" spans="2:13">
      <c r="B303" s="126"/>
      <c r="C303" s="126"/>
      <c r="D303" s="126"/>
      <c r="E303" s="126"/>
      <c r="F303" s="126"/>
      <c r="G303" s="126"/>
      <c r="H303" s="126"/>
      <c r="I303" s="126"/>
      <c r="J303" s="126"/>
      <c r="K303" s="126"/>
      <c r="L303" s="126"/>
      <c r="M303" s="126"/>
    </row>
    <row r="304" spans="2:13">
      <c r="B304" s="126"/>
      <c r="C304" s="126"/>
      <c r="D304" s="126"/>
      <c r="E304" s="126"/>
      <c r="F304" s="126"/>
      <c r="G304" s="126"/>
      <c r="H304" s="126"/>
      <c r="I304" s="126"/>
      <c r="J304" s="126"/>
      <c r="K304" s="126"/>
      <c r="L304" s="126"/>
      <c r="M304" s="126"/>
    </row>
    <row r="305" spans="2:13">
      <c r="B305" s="126"/>
      <c r="C305" s="126"/>
      <c r="D305" s="126"/>
      <c r="E305" s="126"/>
      <c r="F305" s="126"/>
      <c r="G305" s="126"/>
      <c r="H305" s="126"/>
      <c r="I305" s="126"/>
      <c r="J305" s="126"/>
      <c r="K305" s="126"/>
      <c r="L305" s="126"/>
      <c r="M305" s="126"/>
    </row>
    <row r="306" spans="2:13">
      <c r="B306" s="126"/>
      <c r="C306" s="126"/>
      <c r="D306" s="126"/>
      <c r="E306" s="126"/>
      <c r="F306" s="126"/>
      <c r="G306" s="126"/>
      <c r="H306" s="126"/>
      <c r="I306" s="126"/>
      <c r="J306" s="126"/>
      <c r="K306" s="126"/>
      <c r="L306" s="126"/>
      <c r="M306" s="126"/>
    </row>
    <row r="307" spans="2:13">
      <c r="B307" s="126"/>
      <c r="C307" s="126"/>
      <c r="D307" s="126"/>
      <c r="E307" s="126"/>
      <c r="F307" s="126"/>
      <c r="G307" s="126"/>
      <c r="H307" s="126"/>
      <c r="I307" s="126"/>
      <c r="J307" s="126"/>
      <c r="K307" s="126"/>
      <c r="L307" s="126"/>
      <c r="M307" s="126"/>
    </row>
    <row r="308" spans="2:13">
      <c r="B308" s="126"/>
      <c r="C308" s="126"/>
      <c r="D308" s="126"/>
      <c r="E308" s="126"/>
      <c r="F308" s="126"/>
      <c r="G308" s="126"/>
      <c r="H308" s="126"/>
      <c r="I308" s="126"/>
      <c r="J308" s="126"/>
      <c r="K308" s="126"/>
      <c r="L308" s="126"/>
      <c r="M308" s="126"/>
    </row>
    <row r="309" spans="2:13">
      <c r="B309" s="126"/>
      <c r="C309" s="126"/>
      <c r="D309" s="126"/>
      <c r="E309" s="126"/>
      <c r="F309" s="126"/>
      <c r="G309" s="126"/>
      <c r="H309" s="126"/>
      <c r="I309" s="126"/>
      <c r="J309" s="126"/>
      <c r="K309" s="126"/>
      <c r="L309" s="126"/>
      <c r="M309" s="126"/>
    </row>
    <row r="310" spans="2:13">
      <c r="B310" s="126"/>
      <c r="C310" s="126"/>
      <c r="D310" s="126"/>
      <c r="E310" s="126"/>
      <c r="F310" s="126"/>
      <c r="G310" s="126"/>
      <c r="H310" s="126"/>
      <c r="I310" s="126"/>
      <c r="J310" s="126"/>
      <c r="K310" s="126"/>
      <c r="L310" s="126"/>
      <c r="M310" s="126"/>
    </row>
    <row r="311" spans="2:13">
      <c r="B311" s="126"/>
      <c r="C311" s="126"/>
      <c r="D311" s="126"/>
      <c r="E311" s="126"/>
      <c r="F311" s="126"/>
      <c r="G311" s="126"/>
      <c r="H311" s="126"/>
      <c r="I311" s="126"/>
      <c r="J311" s="126"/>
      <c r="K311" s="126"/>
      <c r="L311" s="126"/>
      <c r="M311" s="126"/>
    </row>
    <row r="312" spans="2:13">
      <c r="B312" s="126"/>
      <c r="C312" s="126"/>
      <c r="D312" s="126"/>
      <c r="E312" s="126"/>
      <c r="F312" s="126"/>
      <c r="G312" s="126"/>
      <c r="H312" s="126"/>
      <c r="I312" s="126"/>
      <c r="J312" s="126"/>
      <c r="K312" s="126"/>
      <c r="L312" s="126"/>
      <c r="M312" s="126"/>
    </row>
    <row r="313" spans="2:13">
      <c r="B313" s="126"/>
      <c r="C313" s="126"/>
      <c r="D313" s="126"/>
      <c r="E313" s="126"/>
      <c r="F313" s="126"/>
      <c r="G313" s="126"/>
      <c r="H313" s="126"/>
      <c r="I313" s="126"/>
      <c r="J313" s="126"/>
      <c r="K313" s="126"/>
      <c r="L313" s="126"/>
      <c r="M313" s="126"/>
    </row>
    <row r="314" spans="2:13">
      <c r="B314" s="126"/>
      <c r="C314" s="126"/>
      <c r="D314" s="126"/>
      <c r="E314" s="126"/>
      <c r="F314" s="126"/>
      <c r="G314" s="126"/>
      <c r="H314" s="126"/>
      <c r="I314" s="126"/>
      <c r="J314" s="126"/>
      <c r="K314" s="126"/>
      <c r="L314" s="126"/>
      <c r="M314" s="126"/>
    </row>
    <row r="315" spans="2:13">
      <c r="B315" s="126"/>
      <c r="C315" s="126"/>
      <c r="D315" s="126"/>
      <c r="E315" s="126"/>
      <c r="F315" s="126"/>
      <c r="G315" s="126"/>
      <c r="H315" s="126"/>
      <c r="I315" s="126"/>
      <c r="J315" s="126"/>
      <c r="K315" s="126"/>
      <c r="L315" s="126"/>
      <c r="M315" s="126"/>
    </row>
    <row r="316" spans="2:13">
      <c r="B316" s="126"/>
      <c r="C316" s="126"/>
      <c r="D316" s="126"/>
      <c r="E316" s="126"/>
      <c r="F316" s="126"/>
      <c r="G316" s="126"/>
      <c r="H316" s="126"/>
      <c r="I316" s="126"/>
      <c r="J316" s="126"/>
      <c r="K316" s="126"/>
      <c r="L316" s="126"/>
      <c r="M316" s="126"/>
    </row>
    <row r="317" spans="2:13">
      <c r="B317" s="126"/>
      <c r="C317" s="126"/>
      <c r="D317" s="126"/>
      <c r="E317" s="126"/>
      <c r="F317" s="126"/>
      <c r="G317" s="126"/>
      <c r="H317" s="126"/>
      <c r="I317" s="126"/>
      <c r="J317" s="126"/>
      <c r="K317" s="126"/>
      <c r="L317" s="126"/>
      <c r="M317" s="126"/>
    </row>
    <row r="318" spans="2:13">
      <c r="B318" s="126"/>
      <c r="C318" s="126"/>
      <c r="D318" s="126"/>
      <c r="E318" s="126"/>
      <c r="F318" s="126"/>
      <c r="G318" s="126"/>
      <c r="H318" s="126"/>
      <c r="I318" s="126"/>
      <c r="J318" s="126"/>
      <c r="K318" s="126"/>
      <c r="L318" s="126"/>
      <c r="M318" s="126"/>
    </row>
    <row r="319" spans="2:13">
      <c r="B319" s="126"/>
      <c r="C319" s="126"/>
      <c r="D319" s="126"/>
      <c r="E319" s="126"/>
      <c r="F319" s="126"/>
      <c r="G319" s="126"/>
      <c r="H319" s="126"/>
      <c r="I319" s="126"/>
      <c r="J319" s="126"/>
      <c r="K319" s="126"/>
      <c r="L319" s="126"/>
      <c r="M319" s="126"/>
    </row>
    <row r="320" spans="2:13">
      <c r="B320" s="126"/>
      <c r="C320" s="126"/>
      <c r="D320" s="126"/>
      <c r="E320" s="126"/>
      <c r="F320" s="126"/>
      <c r="G320" s="126"/>
      <c r="H320" s="126"/>
      <c r="I320" s="126"/>
      <c r="J320" s="126"/>
      <c r="K320" s="126"/>
      <c r="L320" s="126"/>
      <c r="M320" s="126"/>
    </row>
    <row r="321" spans="2:13">
      <c r="B321" s="126"/>
      <c r="C321" s="126"/>
      <c r="D321" s="126"/>
      <c r="E321" s="126"/>
      <c r="F321" s="126"/>
      <c r="G321" s="126"/>
      <c r="H321" s="126"/>
      <c r="I321" s="126"/>
      <c r="J321" s="126"/>
      <c r="K321" s="126"/>
      <c r="L321" s="126"/>
      <c r="M321" s="126"/>
    </row>
    <row r="322" spans="2:13">
      <c r="B322" s="126"/>
      <c r="C322" s="126"/>
      <c r="D322" s="126"/>
      <c r="E322" s="126"/>
      <c r="F322" s="126"/>
      <c r="G322" s="126"/>
      <c r="H322" s="126"/>
      <c r="I322" s="126"/>
      <c r="J322" s="126"/>
      <c r="K322" s="126"/>
      <c r="L322" s="126"/>
      <c r="M322" s="126"/>
    </row>
    <row r="323" spans="2:13">
      <c r="B323" s="126"/>
      <c r="C323" s="126"/>
      <c r="D323" s="126"/>
      <c r="E323" s="126"/>
      <c r="F323" s="126"/>
      <c r="G323" s="126"/>
      <c r="H323" s="126"/>
      <c r="I323" s="126"/>
      <c r="J323" s="126"/>
      <c r="K323" s="126"/>
      <c r="L323" s="126"/>
      <c r="M323" s="126"/>
    </row>
    <row r="324" spans="2:13">
      <c r="B324" s="126"/>
      <c r="C324" s="126"/>
      <c r="D324" s="126"/>
      <c r="E324" s="126"/>
      <c r="F324" s="126"/>
      <c r="G324" s="126"/>
      <c r="H324" s="126"/>
      <c r="I324" s="126"/>
      <c r="J324" s="126"/>
      <c r="K324" s="126"/>
      <c r="L324" s="126"/>
      <c r="M324" s="126"/>
    </row>
    <row r="325" spans="2:13">
      <c r="B325" s="126"/>
      <c r="C325" s="126"/>
      <c r="D325" s="126"/>
      <c r="E325" s="126"/>
      <c r="F325" s="126"/>
      <c r="G325" s="126"/>
      <c r="H325" s="126"/>
      <c r="I325" s="126"/>
      <c r="J325" s="126"/>
      <c r="K325" s="126"/>
      <c r="L325" s="126"/>
      <c r="M325" s="126"/>
    </row>
    <row r="326" spans="2:13">
      <c r="B326" s="126"/>
      <c r="C326" s="126"/>
      <c r="D326" s="126"/>
      <c r="E326" s="126"/>
      <c r="F326" s="126"/>
      <c r="G326" s="126"/>
      <c r="H326" s="126"/>
      <c r="I326" s="126"/>
      <c r="J326" s="126"/>
      <c r="K326" s="126"/>
      <c r="L326" s="126"/>
      <c r="M326" s="126"/>
    </row>
    <row r="327" spans="2:13">
      <c r="B327" s="126"/>
      <c r="C327" s="126"/>
      <c r="D327" s="126"/>
      <c r="E327" s="126"/>
      <c r="F327" s="126"/>
      <c r="G327" s="126"/>
      <c r="H327" s="126"/>
      <c r="I327" s="126"/>
      <c r="J327" s="126"/>
      <c r="K327" s="126"/>
      <c r="L327" s="126"/>
      <c r="M327" s="126"/>
    </row>
    <row r="328" spans="2:13">
      <c r="B328" s="126"/>
      <c r="C328" s="126"/>
      <c r="D328" s="126"/>
      <c r="E328" s="126"/>
      <c r="F328" s="126"/>
      <c r="G328" s="126"/>
      <c r="H328" s="126"/>
      <c r="I328" s="126"/>
      <c r="J328" s="126"/>
      <c r="K328" s="126"/>
      <c r="L328" s="126"/>
      <c r="M328" s="126"/>
    </row>
    <row r="329" spans="2:13">
      <c r="B329" s="126"/>
      <c r="C329" s="126"/>
      <c r="D329" s="126"/>
      <c r="E329" s="126"/>
      <c r="F329" s="126"/>
      <c r="G329" s="126"/>
      <c r="H329" s="126"/>
      <c r="I329" s="126"/>
      <c r="J329" s="126"/>
      <c r="K329" s="126"/>
      <c r="L329" s="126"/>
      <c r="M329" s="126"/>
    </row>
    <row r="330" spans="2:13">
      <c r="B330" s="126"/>
      <c r="C330" s="126"/>
      <c r="D330" s="126"/>
      <c r="E330" s="126"/>
      <c r="F330" s="126"/>
      <c r="G330" s="126"/>
      <c r="H330" s="126"/>
      <c r="I330" s="126"/>
      <c r="J330" s="126"/>
      <c r="K330" s="126"/>
      <c r="L330" s="126"/>
      <c r="M330" s="126"/>
    </row>
    <row r="331" spans="2:13">
      <c r="B331" s="126"/>
      <c r="C331" s="126"/>
      <c r="D331" s="126"/>
      <c r="E331" s="126"/>
      <c r="F331" s="126"/>
      <c r="G331" s="126"/>
      <c r="H331" s="126"/>
      <c r="I331" s="126"/>
      <c r="J331" s="126"/>
      <c r="K331" s="126"/>
      <c r="L331" s="126"/>
      <c r="M331" s="126"/>
    </row>
    <row r="332" spans="2:13">
      <c r="B332" s="126"/>
      <c r="C332" s="126"/>
      <c r="D332" s="126"/>
      <c r="E332" s="126"/>
      <c r="F332" s="126"/>
      <c r="G332" s="126"/>
      <c r="H332" s="126"/>
      <c r="I332" s="126"/>
      <c r="J332" s="126"/>
      <c r="K332" s="126"/>
      <c r="L332" s="126"/>
      <c r="M332" s="126"/>
    </row>
    <row r="333" spans="2:13">
      <c r="B333" s="126"/>
      <c r="C333" s="126"/>
      <c r="D333" s="126"/>
      <c r="E333" s="126"/>
      <c r="F333" s="126"/>
      <c r="G333" s="126"/>
      <c r="H333" s="126"/>
      <c r="I333" s="126"/>
      <c r="J333" s="126"/>
      <c r="K333" s="126"/>
      <c r="L333" s="126"/>
      <c r="M333" s="126"/>
    </row>
    <row r="334" spans="2:13">
      <c r="B334" s="126"/>
      <c r="C334" s="126"/>
      <c r="D334" s="126"/>
      <c r="E334" s="126"/>
      <c r="F334" s="126"/>
      <c r="G334" s="126"/>
      <c r="H334" s="126"/>
      <c r="I334" s="126"/>
      <c r="J334" s="126"/>
      <c r="K334" s="126"/>
      <c r="L334" s="126"/>
      <c r="M334" s="126"/>
    </row>
    <row r="335" spans="2:13">
      <c r="B335" s="126"/>
      <c r="C335" s="126"/>
      <c r="D335" s="126"/>
      <c r="E335" s="126"/>
      <c r="F335" s="126"/>
      <c r="G335" s="126"/>
      <c r="H335" s="126"/>
      <c r="I335" s="126"/>
      <c r="J335" s="126"/>
      <c r="K335" s="126"/>
      <c r="L335" s="126"/>
      <c r="M335" s="126"/>
    </row>
    <row r="336" spans="2:13">
      <c r="B336" s="126"/>
      <c r="C336" s="126"/>
      <c r="D336" s="126"/>
      <c r="E336" s="126"/>
      <c r="F336" s="126"/>
      <c r="G336" s="126"/>
      <c r="H336" s="126"/>
      <c r="I336" s="126"/>
      <c r="J336" s="126"/>
      <c r="K336" s="126"/>
      <c r="L336" s="126"/>
      <c r="M336" s="126"/>
    </row>
    <row r="337" spans="2:13">
      <c r="B337" s="126"/>
      <c r="C337" s="126"/>
      <c r="D337" s="126"/>
      <c r="E337" s="126"/>
      <c r="F337" s="126"/>
      <c r="G337" s="126"/>
      <c r="H337" s="126"/>
      <c r="I337" s="126"/>
      <c r="J337" s="126"/>
      <c r="K337" s="126"/>
      <c r="L337" s="126"/>
      <c r="M337" s="126"/>
    </row>
    <row r="338" spans="2:13">
      <c r="B338" s="126"/>
      <c r="C338" s="126"/>
      <c r="D338" s="126"/>
      <c r="E338" s="126"/>
      <c r="F338" s="126"/>
      <c r="G338" s="126"/>
      <c r="H338" s="126"/>
      <c r="I338" s="126"/>
      <c r="J338" s="126"/>
      <c r="K338" s="126"/>
      <c r="L338" s="126"/>
      <c r="M338" s="126"/>
    </row>
    <row r="339" spans="2:13">
      <c r="B339" s="126"/>
      <c r="C339" s="126"/>
      <c r="D339" s="126"/>
      <c r="E339" s="126"/>
      <c r="F339" s="126"/>
      <c r="G339" s="126"/>
      <c r="H339" s="126"/>
      <c r="I339" s="126"/>
      <c r="J339" s="126"/>
      <c r="K339" s="126"/>
      <c r="L339" s="126"/>
      <c r="M339" s="126"/>
    </row>
    <row r="340" spans="2:13">
      <c r="B340" s="126"/>
      <c r="C340" s="126"/>
      <c r="D340" s="126"/>
      <c r="E340" s="126"/>
      <c r="F340" s="126"/>
      <c r="G340" s="126"/>
      <c r="H340" s="126"/>
      <c r="I340" s="126"/>
      <c r="J340" s="126"/>
      <c r="K340" s="126"/>
      <c r="L340" s="126"/>
      <c r="M340" s="126"/>
    </row>
    <row r="341" spans="2:13">
      <c r="B341" s="126"/>
      <c r="C341" s="126"/>
      <c r="D341" s="126"/>
      <c r="E341" s="126"/>
      <c r="F341" s="126"/>
      <c r="G341" s="126"/>
      <c r="H341" s="126"/>
      <c r="I341" s="126"/>
      <c r="J341" s="126"/>
      <c r="K341" s="126"/>
      <c r="L341" s="126"/>
      <c r="M341" s="126"/>
    </row>
    <row r="342" spans="2:13">
      <c r="B342" s="126"/>
      <c r="C342" s="126"/>
      <c r="D342" s="126"/>
      <c r="E342" s="126"/>
      <c r="F342" s="126"/>
      <c r="G342" s="126"/>
      <c r="H342" s="126"/>
      <c r="I342" s="126"/>
      <c r="J342" s="126"/>
      <c r="K342" s="126"/>
      <c r="L342" s="126"/>
      <c r="M342" s="126"/>
    </row>
    <row r="343" spans="2:13">
      <c r="B343" s="126"/>
      <c r="C343" s="126"/>
      <c r="D343" s="126"/>
      <c r="E343" s="126"/>
      <c r="F343" s="126"/>
      <c r="G343" s="126"/>
      <c r="H343" s="126"/>
      <c r="I343" s="126"/>
      <c r="J343" s="126"/>
      <c r="K343" s="126"/>
      <c r="L343" s="126"/>
      <c r="M343" s="126"/>
    </row>
    <row r="344" spans="2:13">
      <c r="B344" s="126"/>
      <c r="C344" s="126"/>
      <c r="D344" s="126"/>
      <c r="E344" s="126"/>
      <c r="F344" s="126"/>
      <c r="G344" s="126"/>
      <c r="H344" s="126"/>
      <c r="I344" s="126"/>
      <c r="J344" s="126"/>
      <c r="K344" s="126"/>
      <c r="L344" s="126"/>
      <c r="M344" s="126"/>
    </row>
    <row r="345" spans="2:13">
      <c r="B345" s="126"/>
      <c r="C345" s="126"/>
      <c r="D345" s="126"/>
      <c r="E345" s="126"/>
      <c r="F345" s="126"/>
      <c r="G345" s="126"/>
      <c r="H345" s="126"/>
      <c r="I345" s="126"/>
      <c r="J345" s="126"/>
      <c r="K345" s="126"/>
      <c r="L345" s="126"/>
      <c r="M345" s="126"/>
    </row>
    <row r="346" spans="2:13">
      <c r="B346" s="126"/>
      <c r="C346" s="126"/>
      <c r="D346" s="126"/>
      <c r="E346" s="126"/>
      <c r="F346" s="126"/>
      <c r="G346" s="126"/>
      <c r="H346" s="126"/>
      <c r="I346" s="126"/>
      <c r="J346" s="126"/>
      <c r="K346" s="126"/>
      <c r="L346" s="126"/>
      <c r="M346" s="126"/>
    </row>
    <row r="347" spans="2:13">
      <c r="B347" s="126"/>
      <c r="C347" s="126"/>
      <c r="D347" s="126"/>
      <c r="E347" s="126"/>
      <c r="F347" s="126"/>
      <c r="G347" s="126"/>
      <c r="H347" s="126"/>
      <c r="I347" s="126"/>
      <c r="J347" s="126"/>
      <c r="K347" s="126"/>
      <c r="L347" s="126"/>
      <c r="M347" s="126"/>
    </row>
    <row r="348" spans="2:13">
      <c r="B348" s="126"/>
      <c r="C348" s="126"/>
      <c r="D348" s="126"/>
      <c r="E348" s="126"/>
      <c r="F348" s="126"/>
      <c r="G348" s="126"/>
      <c r="H348" s="126"/>
      <c r="I348" s="126"/>
      <c r="J348" s="126"/>
      <c r="K348" s="126"/>
      <c r="L348" s="126"/>
      <c r="M348" s="126"/>
    </row>
    <row r="349" spans="2:13">
      <c r="B349" s="126"/>
      <c r="C349" s="126"/>
      <c r="D349" s="126"/>
      <c r="E349" s="126"/>
      <c r="F349" s="126"/>
      <c r="G349" s="126"/>
      <c r="H349" s="126"/>
      <c r="I349" s="126"/>
      <c r="J349" s="126"/>
      <c r="K349" s="126"/>
      <c r="L349" s="126"/>
      <c r="M349" s="126"/>
    </row>
    <row r="350" spans="2:13">
      <c r="B350" s="126"/>
      <c r="C350" s="126"/>
      <c r="D350" s="126"/>
      <c r="E350" s="126"/>
      <c r="F350" s="126"/>
      <c r="G350" s="126"/>
      <c r="H350" s="126"/>
      <c r="I350" s="126"/>
      <c r="J350" s="126"/>
      <c r="K350" s="126"/>
      <c r="L350" s="126"/>
      <c r="M350" s="126"/>
    </row>
    <row r="351" spans="2:13">
      <c r="B351" s="126"/>
      <c r="C351" s="126"/>
      <c r="D351" s="126"/>
      <c r="E351" s="126"/>
      <c r="F351" s="126"/>
      <c r="G351" s="126"/>
      <c r="H351" s="126"/>
      <c r="I351" s="126"/>
      <c r="J351" s="126"/>
      <c r="K351" s="126"/>
      <c r="L351" s="126"/>
      <c r="M351" s="126"/>
    </row>
    <row r="352" spans="2:13">
      <c r="B352" s="126"/>
      <c r="C352" s="126"/>
      <c r="D352" s="126"/>
      <c r="E352" s="126"/>
      <c r="F352" s="126"/>
      <c r="G352" s="126"/>
      <c r="H352" s="126"/>
      <c r="I352" s="126"/>
      <c r="J352" s="126"/>
      <c r="K352" s="126"/>
      <c r="L352" s="126"/>
      <c r="M352" s="126"/>
    </row>
    <row r="353" spans="2:13">
      <c r="B353" s="126"/>
      <c r="C353" s="126"/>
      <c r="D353" s="126"/>
      <c r="E353" s="126"/>
      <c r="F353" s="126"/>
      <c r="G353" s="126"/>
      <c r="H353" s="126"/>
      <c r="I353" s="126"/>
      <c r="J353" s="126"/>
      <c r="K353" s="126"/>
      <c r="L353" s="126"/>
      <c r="M353" s="126"/>
    </row>
    <row r="354" spans="2:13">
      <c r="B354" s="126"/>
      <c r="C354" s="126"/>
      <c r="D354" s="126"/>
      <c r="E354" s="126"/>
      <c r="F354" s="126"/>
      <c r="G354" s="126"/>
      <c r="H354" s="126"/>
      <c r="I354" s="126"/>
      <c r="J354" s="126"/>
      <c r="K354" s="126"/>
      <c r="L354" s="126"/>
      <c r="M354" s="126"/>
    </row>
    <row r="355" spans="2:13">
      <c r="B355" s="126"/>
      <c r="C355" s="126"/>
      <c r="D355" s="126"/>
      <c r="E355" s="126"/>
      <c r="F355" s="126"/>
      <c r="G355" s="126"/>
      <c r="H355" s="126"/>
      <c r="I355" s="126"/>
      <c r="J355" s="126"/>
      <c r="K355" s="126"/>
      <c r="L355" s="126"/>
      <c r="M355" s="126"/>
    </row>
    <row r="356" spans="2:13">
      <c r="B356" s="126"/>
      <c r="C356" s="126"/>
      <c r="D356" s="126"/>
      <c r="E356" s="126"/>
      <c r="F356" s="126"/>
      <c r="G356" s="126"/>
      <c r="H356" s="126"/>
      <c r="I356" s="126"/>
      <c r="J356" s="126"/>
      <c r="K356" s="126"/>
      <c r="L356" s="126"/>
      <c r="M356" s="126"/>
    </row>
    <row r="357" spans="2:13">
      <c r="B357" s="126"/>
      <c r="C357" s="126"/>
      <c r="D357" s="126"/>
      <c r="E357" s="126"/>
      <c r="F357" s="126"/>
      <c r="G357" s="126"/>
      <c r="H357" s="126"/>
      <c r="I357" s="126"/>
      <c r="J357" s="126"/>
      <c r="K357" s="126"/>
      <c r="L357" s="126"/>
      <c r="M357" s="126"/>
    </row>
    <row r="358" spans="2:13">
      <c r="B358" s="126"/>
      <c r="C358" s="126"/>
      <c r="D358" s="126"/>
      <c r="E358" s="126"/>
      <c r="F358" s="126"/>
      <c r="G358" s="126"/>
      <c r="H358" s="126"/>
      <c r="I358" s="126"/>
      <c r="J358" s="126"/>
      <c r="K358" s="126"/>
      <c r="L358" s="126"/>
      <c r="M358" s="126"/>
    </row>
    <row r="359" spans="2:13">
      <c r="B359" s="126"/>
      <c r="C359" s="126"/>
      <c r="D359" s="126"/>
      <c r="E359" s="126"/>
      <c r="F359" s="126"/>
      <c r="G359" s="126"/>
      <c r="H359" s="126"/>
      <c r="I359" s="126"/>
      <c r="J359" s="126"/>
      <c r="K359" s="126"/>
      <c r="L359" s="126"/>
      <c r="M359" s="126"/>
    </row>
    <row r="360" spans="2:13">
      <c r="B360" s="126"/>
      <c r="C360" s="126"/>
      <c r="D360" s="126"/>
      <c r="E360" s="126"/>
      <c r="F360" s="126"/>
      <c r="G360" s="126"/>
      <c r="H360" s="126"/>
      <c r="I360" s="126"/>
      <c r="J360" s="126"/>
      <c r="K360" s="126"/>
      <c r="L360" s="126"/>
      <c r="M360" s="126"/>
    </row>
    <row r="361" spans="2:13">
      <c r="B361" s="126"/>
      <c r="C361" s="126"/>
      <c r="D361" s="126"/>
      <c r="E361" s="126"/>
      <c r="F361" s="126"/>
      <c r="G361" s="126"/>
      <c r="H361" s="126"/>
      <c r="I361" s="126"/>
      <c r="J361" s="126"/>
      <c r="K361" s="126"/>
      <c r="L361" s="126"/>
      <c r="M361" s="126"/>
    </row>
    <row r="362" spans="2:13">
      <c r="B362" s="126"/>
      <c r="C362" s="126"/>
      <c r="D362" s="126"/>
      <c r="E362" s="126"/>
      <c r="F362" s="126"/>
      <c r="G362" s="126"/>
      <c r="H362" s="126"/>
      <c r="I362" s="126"/>
      <c r="J362" s="126"/>
      <c r="K362" s="126"/>
      <c r="L362" s="126"/>
      <c r="M362" s="126"/>
    </row>
    <row r="363" spans="2:13">
      <c r="B363" s="126"/>
      <c r="C363" s="126"/>
      <c r="D363" s="126"/>
      <c r="E363" s="126"/>
      <c r="F363" s="126"/>
      <c r="G363" s="126"/>
      <c r="H363" s="126"/>
      <c r="I363" s="126"/>
      <c r="J363" s="126"/>
      <c r="K363" s="126"/>
      <c r="L363" s="126"/>
      <c r="M363" s="126"/>
    </row>
    <row r="364" spans="2:13">
      <c r="B364" s="126"/>
      <c r="C364" s="126"/>
      <c r="D364" s="126"/>
      <c r="E364" s="126"/>
      <c r="F364" s="126"/>
      <c r="G364" s="126"/>
      <c r="H364" s="126"/>
      <c r="I364" s="126"/>
      <c r="J364" s="126"/>
      <c r="K364" s="126"/>
      <c r="L364" s="126"/>
      <c r="M364" s="126"/>
    </row>
    <row r="365" spans="2:13">
      <c r="B365" s="126"/>
      <c r="C365" s="126"/>
      <c r="D365" s="126"/>
      <c r="E365" s="126"/>
      <c r="F365" s="126"/>
      <c r="G365" s="126"/>
      <c r="H365" s="126"/>
      <c r="I365" s="126"/>
      <c r="J365" s="126"/>
      <c r="K365" s="126"/>
      <c r="L365" s="126"/>
      <c r="M365" s="126"/>
    </row>
    <row r="366" spans="2:13">
      <c r="B366" s="126"/>
      <c r="C366" s="126"/>
      <c r="D366" s="126"/>
      <c r="E366" s="126"/>
      <c r="F366" s="126"/>
      <c r="G366" s="126"/>
      <c r="H366" s="126"/>
      <c r="I366" s="126"/>
      <c r="J366" s="126"/>
      <c r="K366" s="126"/>
      <c r="L366" s="126"/>
      <c r="M366" s="126"/>
    </row>
    <row r="367" spans="2:13">
      <c r="B367" s="126"/>
      <c r="C367" s="126"/>
      <c r="D367" s="126"/>
      <c r="E367" s="126"/>
      <c r="F367" s="126"/>
      <c r="G367" s="126"/>
      <c r="H367" s="126"/>
      <c r="I367" s="126"/>
      <c r="J367" s="126"/>
      <c r="K367" s="126"/>
      <c r="L367" s="126"/>
      <c r="M367" s="126"/>
    </row>
    <row r="368" spans="2:13">
      <c r="B368" s="126"/>
      <c r="C368" s="126"/>
      <c r="D368" s="126"/>
      <c r="E368" s="126"/>
      <c r="F368" s="126"/>
      <c r="G368" s="126"/>
      <c r="H368" s="126"/>
      <c r="I368" s="126"/>
      <c r="J368" s="126"/>
      <c r="K368" s="126"/>
      <c r="L368" s="126"/>
      <c r="M368" s="126"/>
    </row>
    <row r="369" spans="2:13">
      <c r="B369" s="126"/>
      <c r="C369" s="126"/>
      <c r="D369" s="126"/>
      <c r="E369" s="126"/>
      <c r="F369" s="126"/>
      <c r="G369" s="126"/>
      <c r="H369" s="126"/>
      <c r="I369" s="126"/>
      <c r="J369" s="126"/>
      <c r="K369" s="126"/>
      <c r="L369" s="126"/>
      <c r="M369" s="126"/>
    </row>
    <row r="370" spans="2:13">
      <c r="B370" s="126"/>
      <c r="C370" s="126"/>
      <c r="D370" s="126"/>
      <c r="E370" s="126"/>
      <c r="F370" s="126"/>
      <c r="G370" s="126"/>
      <c r="H370" s="126"/>
      <c r="I370" s="126"/>
      <c r="J370" s="126"/>
      <c r="K370" s="126"/>
      <c r="L370" s="126"/>
      <c r="M370" s="126"/>
    </row>
    <row r="371" spans="2:13">
      <c r="B371" s="126"/>
      <c r="C371" s="126"/>
      <c r="D371" s="126"/>
      <c r="E371" s="126"/>
      <c r="F371" s="126"/>
      <c r="G371" s="126"/>
      <c r="H371" s="126"/>
      <c r="I371" s="126"/>
      <c r="J371" s="126"/>
      <c r="K371" s="126"/>
      <c r="L371" s="126"/>
      <c r="M371" s="126"/>
    </row>
    <row r="372" spans="2:13">
      <c r="B372" s="126"/>
      <c r="C372" s="126"/>
      <c r="D372" s="126"/>
      <c r="E372" s="126"/>
      <c r="F372" s="126"/>
      <c r="G372" s="126"/>
      <c r="H372" s="126"/>
      <c r="I372" s="126"/>
      <c r="J372" s="126"/>
      <c r="K372" s="126"/>
      <c r="L372" s="126"/>
      <c r="M372" s="126"/>
    </row>
    <row r="373" spans="2:13">
      <c r="B373" s="126"/>
      <c r="C373" s="126"/>
      <c r="D373" s="126"/>
      <c r="E373" s="126"/>
      <c r="F373" s="126"/>
      <c r="G373" s="126"/>
      <c r="H373" s="126"/>
      <c r="I373" s="126"/>
      <c r="J373" s="126"/>
      <c r="K373" s="126"/>
      <c r="L373" s="126"/>
      <c r="M373" s="126"/>
    </row>
    <row r="374" spans="2:13">
      <c r="B374" s="126"/>
      <c r="C374" s="126"/>
      <c r="D374" s="126"/>
      <c r="E374" s="126"/>
      <c r="F374" s="126"/>
      <c r="G374" s="126"/>
      <c r="H374" s="126"/>
      <c r="I374" s="126"/>
      <c r="J374" s="126"/>
      <c r="K374" s="126"/>
      <c r="L374" s="126"/>
      <c r="M374" s="126"/>
    </row>
    <row r="375" spans="2:13">
      <c r="B375" s="126"/>
      <c r="C375" s="126"/>
      <c r="D375" s="126"/>
      <c r="E375" s="126"/>
      <c r="F375" s="126"/>
      <c r="G375" s="126"/>
      <c r="H375" s="126"/>
      <c r="I375" s="126"/>
      <c r="J375" s="126"/>
      <c r="K375" s="126"/>
      <c r="L375" s="126"/>
      <c r="M375" s="126"/>
    </row>
    <row r="376" spans="2:13">
      <c r="B376" s="126"/>
      <c r="C376" s="126"/>
      <c r="D376" s="126"/>
      <c r="E376" s="126"/>
      <c r="F376" s="126"/>
      <c r="G376" s="126"/>
      <c r="H376" s="126"/>
      <c r="I376" s="126"/>
      <c r="J376" s="126"/>
      <c r="K376" s="126"/>
      <c r="L376" s="126"/>
      <c r="M376" s="126"/>
    </row>
    <row r="377" spans="2:13">
      <c r="B377" s="126"/>
      <c r="C377" s="126"/>
      <c r="D377" s="126"/>
      <c r="E377" s="126"/>
      <c r="F377" s="126"/>
      <c r="G377" s="126"/>
      <c r="H377" s="126"/>
      <c r="I377" s="126"/>
      <c r="J377" s="126"/>
      <c r="K377" s="126"/>
      <c r="L377" s="126"/>
      <c r="M377" s="126"/>
    </row>
    <row r="378" spans="2:13">
      <c r="B378" s="126"/>
      <c r="C378" s="126"/>
      <c r="D378" s="126"/>
      <c r="E378" s="126"/>
      <c r="F378" s="126"/>
      <c r="G378" s="126"/>
      <c r="H378" s="126"/>
      <c r="I378" s="126"/>
      <c r="J378" s="126"/>
      <c r="K378" s="126"/>
      <c r="L378" s="126"/>
      <c r="M378" s="126"/>
    </row>
    <row r="379" spans="2:13">
      <c r="B379" s="126"/>
      <c r="C379" s="126"/>
      <c r="D379" s="126"/>
      <c r="E379" s="126"/>
      <c r="F379" s="126"/>
      <c r="G379" s="126"/>
      <c r="H379" s="126"/>
      <c r="I379" s="126"/>
      <c r="J379" s="126"/>
      <c r="K379" s="126"/>
      <c r="L379" s="126"/>
      <c r="M379" s="126"/>
    </row>
    <row r="380" spans="2:13">
      <c r="B380" s="126"/>
      <c r="C380" s="126"/>
      <c r="D380" s="126"/>
      <c r="E380" s="126"/>
      <c r="F380" s="126"/>
      <c r="G380" s="126"/>
      <c r="H380" s="126"/>
      <c r="I380" s="126"/>
      <c r="J380" s="126"/>
      <c r="K380" s="126"/>
      <c r="L380" s="126"/>
      <c r="M380" s="126"/>
    </row>
    <row r="381" spans="2:13">
      <c r="B381" s="126"/>
      <c r="C381" s="126"/>
      <c r="D381" s="126"/>
      <c r="E381" s="126"/>
      <c r="F381" s="126"/>
      <c r="G381" s="126"/>
      <c r="H381" s="126"/>
      <c r="I381" s="126"/>
      <c r="J381" s="126"/>
      <c r="K381" s="126"/>
      <c r="L381" s="126"/>
      <c r="M381" s="126"/>
    </row>
    <row r="382" spans="2:13">
      <c r="B382" s="126"/>
      <c r="C382" s="126"/>
      <c r="D382" s="126"/>
      <c r="E382" s="126"/>
      <c r="F382" s="126"/>
      <c r="G382" s="126"/>
      <c r="H382" s="126"/>
      <c r="I382" s="126"/>
      <c r="J382" s="126"/>
      <c r="K382" s="126"/>
      <c r="L382" s="126"/>
      <c r="M382" s="126"/>
    </row>
    <row r="383" spans="2:13">
      <c r="B383" s="126"/>
      <c r="C383" s="126"/>
      <c r="D383" s="126"/>
      <c r="E383" s="126"/>
      <c r="F383" s="126"/>
      <c r="G383" s="126"/>
      <c r="H383" s="126"/>
      <c r="I383" s="126"/>
      <c r="J383" s="126"/>
      <c r="K383" s="126"/>
      <c r="L383" s="126"/>
      <c r="M383" s="126"/>
    </row>
    <row r="384" spans="2:13">
      <c r="B384" s="126"/>
      <c r="C384" s="126"/>
      <c r="D384" s="126"/>
      <c r="E384" s="126"/>
      <c r="F384" s="126"/>
      <c r="G384" s="126"/>
      <c r="H384" s="126"/>
      <c r="I384" s="126"/>
      <c r="J384" s="126"/>
      <c r="K384" s="126"/>
      <c r="L384" s="126"/>
      <c r="M384" s="126"/>
    </row>
    <row r="385" spans="2:13">
      <c r="B385" s="126"/>
      <c r="C385" s="126"/>
      <c r="D385" s="126"/>
      <c r="E385" s="126"/>
      <c r="F385" s="126"/>
      <c r="G385" s="126"/>
      <c r="H385" s="126"/>
      <c r="I385" s="126"/>
      <c r="J385" s="126"/>
      <c r="K385" s="126"/>
      <c r="L385" s="126"/>
      <c r="M385" s="126"/>
    </row>
    <row r="386" spans="2:13">
      <c r="B386" s="126"/>
      <c r="C386" s="126"/>
      <c r="D386" s="126"/>
      <c r="E386" s="126"/>
      <c r="F386" s="126"/>
      <c r="G386" s="126"/>
      <c r="H386" s="126"/>
      <c r="I386" s="126"/>
      <c r="J386" s="126"/>
      <c r="K386" s="126"/>
      <c r="L386" s="126"/>
      <c r="M386" s="126"/>
    </row>
    <row r="387" spans="2:13">
      <c r="B387" s="126"/>
      <c r="C387" s="126"/>
      <c r="D387" s="126"/>
      <c r="E387" s="126"/>
      <c r="F387" s="126"/>
      <c r="G387" s="126"/>
      <c r="H387" s="126"/>
      <c r="I387" s="126"/>
      <c r="J387" s="126"/>
      <c r="K387" s="126"/>
      <c r="L387" s="126"/>
      <c r="M387" s="126"/>
    </row>
    <row r="388" spans="2:13">
      <c r="B388" s="126"/>
      <c r="C388" s="126"/>
      <c r="D388" s="126"/>
      <c r="E388" s="126"/>
      <c r="F388" s="126"/>
      <c r="G388" s="126"/>
      <c r="H388" s="126"/>
      <c r="I388" s="126"/>
      <c r="J388" s="126"/>
      <c r="K388" s="126"/>
      <c r="L388" s="126"/>
      <c r="M388" s="126"/>
    </row>
    <row r="389" spans="2:13">
      <c r="B389" s="126"/>
      <c r="C389" s="126"/>
      <c r="D389" s="126"/>
      <c r="E389" s="126"/>
      <c r="F389" s="126"/>
      <c r="G389" s="126"/>
      <c r="H389" s="126"/>
      <c r="I389" s="126"/>
      <c r="J389" s="126"/>
      <c r="K389" s="126"/>
      <c r="L389" s="126"/>
      <c r="M389" s="126"/>
    </row>
    <row r="390" spans="2:13">
      <c r="B390" s="126"/>
      <c r="C390" s="126"/>
      <c r="D390" s="126"/>
      <c r="E390" s="126"/>
      <c r="F390" s="126"/>
      <c r="G390" s="126"/>
      <c r="H390" s="126"/>
      <c r="I390" s="126"/>
      <c r="J390" s="126"/>
      <c r="K390" s="126"/>
      <c r="L390" s="126"/>
      <c r="M390" s="126"/>
    </row>
    <row r="391" spans="2:13">
      <c r="B391" s="126"/>
      <c r="C391" s="126"/>
      <c r="D391" s="126"/>
      <c r="E391" s="126"/>
      <c r="F391" s="126"/>
      <c r="G391" s="126"/>
      <c r="H391" s="126"/>
      <c r="I391" s="126"/>
      <c r="J391" s="126"/>
      <c r="K391" s="126"/>
      <c r="L391" s="126"/>
      <c r="M391" s="126"/>
    </row>
    <row r="392" spans="2:13">
      <c r="B392" s="126"/>
      <c r="C392" s="126"/>
      <c r="D392" s="126"/>
      <c r="E392" s="126"/>
      <c r="F392" s="126"/>
      <c r="G392" s="126"/>
      <c r="H392" s="126"/>
      <c r="I392" s="126"/>
      <c r="J392" s="126"/>
      <c r="K392" s="126"/>
      <c r="L392" s="126"/>
      <c r="M392" s="126"/>
    </row>
    <row r="393" spans="2:13">
      <c r="B393" s="126"/>
      <c r="C393" s="126"/>
      <c r="D393" s="126"/>
      <c r="E393" s="126"/>
      <c r="F393" s="126"/>
      <c r="G393" s="126"/>
      <c r="H393" s="126"/>
      <c r="I393" s="126"/>
      <c r="J393" s="126"/>
      <c r="K393" s="126"/>
      <c r="L393" s="126"/>
      <c r="M393" s="126"/>
    </row>
    <row r="394" spans="2:13">
      <c r="B394" s="126"/>
      <c r="C394" s="126"/>
      <c r="D394" s="126"/>
      <c r="E394" s="126"/>
      <c r="F394" s="126"/>
      <c r="G394" s="126"/>
      <c r="H394" s="126"/>
      <c r="I394" s="126"/>
      <c r="J394" s="126"/>
      <c r="K394" s="126"/>
      <c r="L394" s="126"/>
      <c r="M394" s="126"/>
    </row>
    <row r="395" spans="2:13">
      <c r="B395" s="126"/>
      <c r="C395" s="126"/>
      <c r="D395" s="126"/>
      <c r="E395" s="126"/>
      <c r="F395" s="126"/>
      <c r="G395" s="126"/>
      <c r="H395" s="126"/>
      <c r="I395" s="126"/>
      <c r="J395" s="126"/>
      <c r="K395" s="126"/>
      <c r="L395" s="126"/>
      <c r="M395" s="126"/>
    </row>
    <row r="396" spans="2:13">
      <c r="B396" s="126"/>
      <c r="C396" s="126"/>
      <c r="D396" s="126"/>
      <c r="E396" s="126"/>
      <c r="F396" s="126"/>
      <c r="G396" s="126"/>
      <c r="H396" s="126"/>
      <c r="I396" s="126"/>
      <c r="J396" s="126"/>
      <c r="K396" s="126"/>
      <c r="L396" s="126"/>
      <c r="M396" s="126"/>
    </row>
    <row r="397" spans="2:13">
      <c r="B397" s="126"/>
      <c r="C397" s="126"/>
      <c r="D397" s="126"/>
      <c r="E397" s="126"/>
      <c r="F397" s="126"/>
      <c r="G397" s="126"/>
      <c r="H397" s="126"/>
      <c r="I397" s="126"/>
      <c r="J397" s="126"/>
      <c r="K397" s="126"/>
      <c r="L397" s="126"/>
      <c r="M397" s="126"/>
    </row>
    <row r="398" spans="2:13">
      <c r="B398" s="126"/>
      <c r="C398" s="126"/>
      <c r="D398" s="126"/>
      <c r="E398" s="126"/>
      <c r="F398" s="126"/>
      <c r="G398" s="126"/>
      <c r="H398" s="126"/>
      <c r="I398" s="126"/>
      <c r="J398" s="126"/>
      <c r="K398" s="126"/>
      <c r="L398" s="126"/>
      <c r="M398" s="126"/>
    </row>
    <row r="399" spans="2:13">
      <c r="B399" s="126"/>
      <c r="C399" s="126"/>
      <c r="D399" s="126"/>
      <c r="E399" s="126"/>
      <c r="F399" s="126"/>
      <c r="G399" s="126"/>
      <c r="H399" s="126"/>
      <c r="I399" s="126"/>
      <c r="J399" s="126"/>
      <c r="K399" s="126"/>
      <c r="L399" s="126"/>
      <c r="M399" s="126"/>
    </row>
    <row r="400" spans="2:13">
      <c r="B400" s="126"/>
      <c r="C400" s="126"/>
      <c r="D400" s="126"/>
      <c r="E400" s="126"/>
      <c r="F400" s="126"/>
      <c r="G400" s="126"/>
      <c r="H400" s="126"/>
      <c r="I400" s="126"/>
      <c r="J400" s="126"/>
      <c r="K400" s="126"/>
      <c r="L400" s="126"/>
      <c r="M400" s="126"/>
    </row>
    <row r="401" spans="2:13">
      <c r="B401" s="126"/>
      <c r="C401" s="126"/>
      <c r="D401" s="126"/>
      <c r="E401" s="126"/>
      <c r="F401" s="126"/>
      <c r="G401" s="126"/>
      <c r="H401" s="126"/>
      <c r="I401" s="126"/>
      <c r="J401" s="126"/>
      <c r="K401" s="126"/>
      <c r="L401" s="126"/>
      <c r="M401" s="126"/>
    </row>
    <row r="402" spans="2:13">
      <c r="B402" s="126"/>
      <c r="C402" s="126"/>
      <c r="D402" s="126"/>
      <c r="E402" s="126"/>
      <c r="F402" s="126"/>
      <c r="G402" s="126"/>
      <c r="H402" s="126"/>
      <c r="I402" s="126"/>
      <c r="J402" s="126"/>
      <c r="K402" s="126"/>
      <c r="L402" s="126"/>
      <c r="M402" s="126"/>
    </row>
    <row r="403" spans="2:13">
      <c r="B403" s="126"/>
      <c r="C403" s="126"/>
      <c r="D403" s="126"/>
      <c r="E403" s="126"/>
      <c r="F403" s="126"/>
      <c r="G403" s="126"/>
      <c r="H403" s="126"/>
      <c r="I403" s="126"/>
      <c r="J403" s="126"/>
      <c r="K403" s="126"/>
      <c r="L403" s="126"/>
      <c r="M403" s="126"/>
    </row>
    <row r="404" spans="2:13">
      <c r="B404" s="126"/>
      <c r="C404" s="126"/>
      <c r="D404" s="126"/>
      <c r="E404" s="126"/>
      <c r="F404" s="126"/>
      <c r="G404" s="126"/>
      <c r="H404" s="126"/>
      <c r="I404" s="126"/>
      <c r="J404" s="126"/>
      <c r="K404" s="126"/>
      <c r="L404" s="126"/>
      <c r="M404" s="126"/>
    </row>
    <row r="405" spans="2:13">
      <c r="B405" s="126"/>
      <c r="C405" s="126"/>
      <c r="D405" s="126"/>
      <c r="E405" s="126"/>
      <c r="F405" s="126"/>
      <c r="G405" s="126"/>
      <c r="H405" s="126"/>
      <c r="I405" s="126"/>
      <c r="J405" s="126"/>
      <c r="K405" s="126"/>
      <c r="L405" s="126"/>
      <c r="M405" s="126"/>
    </row>
    <row r="406" spans="2:13">
      <c r="B406" s="126"/>
      <c r="C406" s="126"/>
      <c r="D406" s="126"/>
      <c r="E406" s="126"/>
      <c r="F406" s="126"/>
      <c r="G406" s="126"/>
      <c r="H406" s="126"/>
      <c r="I406" s="126"/>
      <c r="J406" s="126"/>
      <c r="K406" s="126"/>
      <c r="L406" s="126"/>
      <c r="M406" s="126"/>
    </row>
    <row r="407" spans="2:13">
      <c r="B407" s="126"/>
      <c r="C407" s="126"/>
      <c r="D407" s="126"/>
      <c r="E407" s="126"/>
      <c r="F407" s="126"/>
      <c r="G407" s="126"/>
      <c r="H407" s="126"/>
      <c r="I407" s="126"/>
      <c r="J407" s="126"/>
      <c r="K407" s="126"/>
      <c r="L407" s="126"/>
      <c r="M407" s="126"/>
    </row>
    <row r="408" spans="2:13">
      <c r="B408" s="126"/>
      <c r="C408" s="126"/>
      <c r="D408" s="126"/>
      <c r="E408" s="126"/>
      <c r="F408" s="126"/>
      <c r="G408" s="126"/>
      <c r="H408" s="126"/>
      <c r="I408" s="126"/>
      <c r="J408" s="126"/>
      <c r="K408" s="126"/>
      <c r="L408" s="126"/>
      <c r="M408" s="126"/>
    </row>
    <row r="409" spans="2:13">
      <c r="B409" s="126"/>
      <c r="C409" s="126"/>
      <c r="D409" s="126"/>
      <c r="E409" s="126"/>
      <c r="F409" s="126"/>
      <c r="G409" s="126"/>
      <c r="H409" s="126"/>
      <c r="I409" s="126"/>
      <c r="J409" s="126"/>
      <c r="K409" s="126"/>
      <c r="L409" s="126"/>
      <c r="M409" s="126"/>
    </row>
    <row r="410" spans="2:13">
      <c r="B410" s="126"/>
      <c r="C410" s="126"/>
      <c r="D410" s="126"/>
      <c r="E410" s="126"/>
      <c r="F410" s="126"/>
      <c r="G410" s="126"/>
      <c r="H410" s="126"/>
      <c r="I410" s="126"/>
      <c r="J410" s="126"/>
      <c r="K410" s="126"/>
      <c r="L410" s="126"/>
      <c r="M410" s="126"/>
    </row>
    <row r="411" spans="2:13">
      <c r="B411" s="126"/>
      <c r="C411" s="126"/>
      <c r="D411" s="126"/>
      <c r="E411" s="126"/>
      <c r="F411" s="126"/>
      <c r="G411" s="126"/>
      <c r="H411" s="126"/>
      <c r="I411" s="126"/>
      <c r="J411" s="126"/>
      <c r="K411" s="126"/>
      <c r="L411" s="126"/>
      <c r="M411" s="126"/>
    </row>
    <row r="412" spans="2:13">
      <c r="B412" s="126"/>
      <c r="C412" s="126"/>
      <c r="D412" s="126"/>
      <c r="E412" s="126"/>
      <c r="F412" s="126"/>
      <c r="G412" s="126"/>
      <c r="H412" s="126"/>
      <c r="I412" s="126"/>
      <c r="J412" s="126"/>
      <c r="K412" s="126"/>
      <c r="L412" s="126"/>
      <c r="M412" s="126"/>
    </row>
    <row r="413" spans="2:13">
      <c r="B413" s="126"/>
      <c r="C413" s="126"/>
      <c r="D413" s="126"/>
      <c r="E413" s="126"/>
      <c r="F413" s="126"/>
      <c r="G413" s="126"/>
      <c r="H413" s="126"/>
      <c r="I413" s="126"/>
      <c r="J413" s="126"/>
      <c r="K413" s="126"/>
      <c r="L413" s="126"/>
      <c r="M413" s="126"/>
    </row>
    <row r="414" spans="2:13">
      <c r="B414" s="126"/>
      <c r="C414" s="126"/>
      <c r="D414" s="126"/>
      <c r="E414" s="126"/>
      <c r="F414" s="126"/>
      <c r="G414" s="126"/>
      <c r="H414" s="126"/>
      <c r="I414" s="126"/>
      <c r="J414" s="126"/>
      <c r="K414" s="126"/>
      <c r="L414" s="126"/>
      <c r="M414" s="126"/>
    </row>
    <row r="415" spans="2:13">
      <c r="B415" s="126"/>
      <c r="C415" s="126"/>
      <c r="D415" s="126"/>
      <c r="E415" s="126"/>
      <c r="F415" s="126"/>
      <c r="G415" s="126"/>
      <c r="H415" s="126"/>
      <c r="I415" s="126"/>
      <c r="J415" s="126"/>
      <c r="K415" s="126"/>
      <c r="L415" s="126"/>
      <c r="M415" s="126"/>
    </row>
    <row r="416" spans="2:13">
      <c r="B416" s="126"/>
      <c r="C416" s="126"/>
      <c r="D416" s="126"/>
      <c r="E416" s="126"/>
      <c r="F416" s="126"/>
      <c r="G416" s="126"/>
      <c r="H416" s="126"/>
      <c r="I416" s="126"/>
      <c r="J416" s="126"/>
      <c r="K416" s="126"/>
      <c r="L416" s="126"/>
      <c r="M416" s="126"/>
    </row>
    <row r="417" spans="2:13">
      <c r="B417" s="126"/>
      <c r="C417" s="126"/>
      <c r="D417" s="126"/>
      <c r="E417" s="126"/>
      <c r="F417" s="126"/>
      <c r="G417" s="126"/>
      <c r="H417" s="126"/>
      <c r="I417" s="126"/>
      <c r="J417" s="126"/>
      <c r="K417" s="126"/>
      <c r="L417" s="126"/>
      <c r="M417" s="126"/>
    </row>
    <row r="418" spans="2:13">
      <c r="B418" s="126"/>
      <c r="C418" s="126"/>
      <c r="D418" s="126"/>
      <c r="E418" s="126"/>
      <c r="F418" s="126"/>
      <c r="G418" s="126"/>
      <c r="H418" s="126"/>
      <c r="I418" s="126"/>
      <c r="J418" s="126"/>
      <c r="K418" s="126"/>
      <c r="L418" s="126"/>
      <c r="M418" s="126"/>
    </row>
    <row r="419" spans="2:13">
      <c r="B419" s="126"/>
      <c r="C419" s="126"/>
      <c r="D419" s="126"/>
      <c r="E419" s="126"/>
      <c r="F419" s="126"/>
      <c r="G419" s="126"/>
      <c r="H419" s="126"/>
      <c r="I419" s="126"/>
      <c r="J419" s="126"/>
      <c r="K419" s="126"/>
      <c r="L419" s="126"/>
      <c r="M419" s="126"/>
    </row>
    <row r="420" spans="2:13">
      <c r="B420" s="126"/>
      <c r="C420" s="126"/>
      <c r="D420" s="126"/>
      <c r="E420" s="126"/>
      <c r="F420" s="126"/>
      <c r="G420" s="126"/>
      <c r="H420" s="126"/>
      <c r="I420" s="126"/>
      <c r="J420" s="126"/>
      <c r="K420" s="126"/>
      <c r="L420" s="126"/>
      <c r="M420" s="126"/>
    </row>
    <row r="421" spans="2:13">
      <c r="B421" s="126"/>
      <c r="C421" s="126"/>
      <c r="D421" s="126"/>
      <c r="E421" s="126"/>
      <c r="F421" s="126"/>
      <c r="G421" s="126"/>
      <c r="H421" s="126"/>
      <c r="I421" s="126"/>
      <c r="J421" s="126"/>
      <c r="K421" s="126"/>
      <c r="L421" s="126"/>
      <c r="M421" s="126"/>
    </row>
    <row r="422" spans="2:13">
      <c r="B422" s="126"/>
      <c r="C422" s="126"/>
      <c r="D422" s="126"/>
      <c r="E422" s="126"/>
      <c r="F422" s="126"/>
      <c r="G422" s="126"/>
      <c r="H422" s="126"/>
      <c r="I422" s="126"/>
      <c r="J422" s="126"/>
      <c r="K422" s="126"/>
      <c r="L422" s="126"/>
      <c r="M422" s="126"/>
    </row>
    <row r="423" spans="2:13">
      <c r="B423" s="126"/>
      <c r="C423" s="126"/>
      <c r="D423" s="126"/>
      <c r="E423" s="126"/>
      <c r="F423" s="126"/>
      <c r="G423" s="126"/>
      <c r="H423" s="126"/>
      <c r="I423" s="126"/>
      <c r="J423" s="126"/>
      <c r="K423" s="126"/>
      <c r="L423" s="126"/>
      <c r="M423" s="126"/>
    </row>
    <row r="424" spans="2:13">
      <c r="B424" s="126"/>
      <c r="C424" s="126"/>
      <c r="D424" s="126"/>
      <c r="E424" s="126"/>
      <c r="F424" s="126"/>
      <c r="G424" s="126"/>
      <c r="H424" s="126"/>
      <c r="I424" s="126"/>
      <c r="J424" s="126"/>
      <c r="K424" s="126"/>
      <c r="L424" s="126"/>
      <c r="M424" s="126"/>
    </row>
    <row r="425" spans="2:13">
      <c r="B425" s="126"/>
      <c r="C425" s="126"/>
      <c r="D425" s="126"/>
      <c r="E425" s="126"/>
      <c r="F425" s="126"/>
      <c r="G425" s="126"/>
      <c r="H425" s="126"/>
      <c r="I425" s="126"/>
      <c r="J425" s="126"/>
      <c r="K425" s="126"/>
      <c r="L425" s="126"/>
      <c r="M425" s="126"/>
    </row>
    <row r="426" spans="2:13">
      <c r="B426" s="126"/>
      <c r="C426" s="126"/>
      <c r="D426" s="126"/>
      <c r="E426" s="126"/>
      <c r="F426" s="126"/>
      <c r="G426" s="126"/>
      <c r="H426" s="126"/>
      <c r="I426" s="126"/>
      <c r="J426" s="126"/>
      <c r="K426" s="126"/>
      <c r="L426" s="126"/>
      <c r="M426" s="126"/>
    </row>
    <row r="427" spans="2:13">
      <c r="B427" s="126"/>
      <c r="C427" s="126"/>
      <c r="D427" s="126"/>
      <c r="E427" s="126"/>
      <c r="F427" s="126"/>
      <c r="G427" s="126"/>
      <c r="H427" s="126"/>
      <c r="I427" s="126"/>
      <c r="J427" s="126"/>
      <c r="K427" s="126"/>
      <c r="L427" s="126"/>
      <c r="M427" s="126"/>
    </row>
    <row r="428" spans="2:13">
      <c r="B428" s="126"/>
      <c r="C428" s="126"/>
      <c r="D428" s="126"/>
      <c r="E428" s="126"/>
      <c r="F428" s="126"/>
      <c r="G428" s="126"/>
      <c r="H428" s="126"/>
      <c r="I428" s="126"/>
      <c r="J428" s="126"/>
      <c r="K428" s="126"/>
      <c r="L428" s="126"/>
      <c r="M428" s="126"/>
    </row>
    <row r="429" spans="2:13">
      <c r="B429" s="126"/>
      <c r="C429" s="126"/>
      <c r="D429" s="126"/>
      <c r="E429" s="126"/>
      <c r="F429" s="126"/>
      <c r="G429" s="126"/>
      <c r="H429" s="126"/>
      <c r="I429" s="126"/>
      <c r="J429" s="126"/>
      <c r="K429" s="126"/>
      <c r="L429" s="126"/>
      <c r="M429" s="126"/>
    </row>
    <row r="430" spans="2:13">
      <c r="B430" s="126"/>
      <c r="C430" s="126"/>
      <c r="D430" s="126"/>
      <c r="E430" s="126"/>
      <c r="F430" s="126"/>
      <c r="G430" s="126"/>
      <c r="H430" s="126"/>
      <c r="I430" s="126"/>
      <c r="J430" s="126"/>
      <c r="K430" s="126"/>
      <c r="L430" s="126"/>
      <c r="M430" s="126"/>
    </row>
    <row r="431" spans="2:13">
      <c r="B431" s="126"/>
      <c r="C431" s="126"/>
      <c r="D431" s="126"/>
      <c r="E431" s="126"/>
      <c r="F431" s="126"/>
      <c r="G431" s="126"/>
      <c r="H431" s="126"/>
      <c r="I431" s="126"/>
      <c r="J431" s="126"/>
      <c r="K431" s="126"/>
      <c r="L431" s="126"/>
      <c r="M431" s="126"/>
    </row>
    <row r="432" spans="2:13">
      <c r="B432" s="126"/>
      <c r="C432" s="126"/>
      <c r="D432" s="126"/>
      <c r="E432" s="126"/>
      <c r="F432" s="126"/>
      <c r="G432" s="126"/>
      <c r="H432" s="126"/>
      <c r="I432" s="126"/>
      <c r="J432" s="126"/>
      <c r="K432" s="126"/>
      <c r="L432" s="126"/>
      <c r="M432" s="126"/>
    </row>
    <row r="433" spans="2:13">
      <c r="B433" s="126"/>
      <c r="C433" s="126"/>
      <c r="D433" s="126"/>
      <c r="E433" s="126"/>
      <c r="F433" s="126"/>
      <c r="G433" s="126"/>
      <c r="H433" s="126"/>
      <c r="I433" s="126"/>
      <c r="J433" s="126"/>
      <c r="K433" s="126"/>
      <c r="L433" s="126"/>
      <c r="M433" s="126"/>
    </row>
    <row r="434" spans="2:13">
      <c r="B434" s="126"/>
      <c r="C434" s="126"/>
      <c r="D434" s="126"/>
      <c r="E434" s="126"/>
      <c r="F434" s="126"/>
      <c r="G434" s="126"/>
      <c r="H434" s="126"/>
      <c r="I434" s="126"/>
      <c r="J434" s="126"/>
      <c r="K434" s="126"/>
      <c r="L434" s="126"/>
      <c r="M434" s="126"/>
    </row>
    <row r="435" spans="2:13">
      <c r="B435" s="126"/>
      <c r="C435" s="126"/>
      <c r="D435" s="126"/>
      <c r="E435" s="126"/>
      <c r="F435" s="126"/>
      <c r="G435" s="126"/>
      <c r="H435" s="126"/>
      <c r="I435" s="126"/>
      <c r="J435" s="126"/>
      <c r="K435" s="126"/>
      <c r="L435" s="126"/>
      <c r="M435" s="126"/>
    </row>
    <row r="436" spans="2:13">
      <c r="B436" s="126"/>
      <c r="C436" s="126"/>
      <c r="D436" s="126"/>
      <c r="E436" s="126"/>
      <c r="F436" s="126"/>
      <c r="G436" s="126"/>
      <c r="H436" s="126"/>
      <c r="I436" s="126"/>
      <c r="J436" s="126"/>
      <c r="K436" s="126"/>
      <c r="L436" s="126"/>
      <c r="M436" s="126"/>
    </row>
    <row r="437" spans="2:13">
      <c r="B437" s="126"/>
      <c r="C437" s="126"/>
      <c r="D437" s="126"/>
      <c r="E437" s="126"/>
      <c r="F437" s="126"/>
      <c r="G437" s="126"/>
      <c r="H437" s="126"/>
      <c r="I437" s="126"/>
      <c r="J437" s="126"/>
      <c r="K437" s="126"/>
      <c r="L437" s="126"/>
      <c r="M437" s="126"/>
    </row>
    <row r="438" spans="2:13">
      <c r="B438" s="126"/>
      <c r="C438" s="126"/>
      <c r="D438" s="126"/>
      <c r="E438" s="126"/>
      <c r="F438" s="126"/>
      <c r="G438" s="126"/>
      <c r="H438" s="126"/>
      <c r="I438" s="126"/>
      <c r="J438" s="126"/>
      <c r="K438" s="126"/>
      <c r="L438" s="126"/>
      <c r="M438" s="126"/>
    </row>
    <row r="439" spans="2:13">
      <c r="B439" s="126"/>
      <c r="C439" s="126"/>
      <c r="D439" s="126"/>
      <c r="E439" s="126"/>
      <c r="F439" s="126"/>
      <c r="G439" s="126"/>
      <c r="H439" s="126"/>
      <c r="I439" s="126"/>
      <c r="J439" s="126"/>
      <c r="K439" s="126"/>
      <c r="L439" s="126"/>
      <c r="M439" s="126"/>
    </row>
    <row r="440" spans="2:13">
      <c r="B440" s="126"/>
      <c r="C440" s="126"/>
      <c r="D440" s="126"/>
      <c r="E440" s="126"/>
      <c r="F440" s="126"/>
      <c r="G440" s="126"/>
      <c r="H440" s="126"/>
      <c r="I440" s="126"/>
      <c r="J440" s="126"/>
      <c r="K440" s="126"/>
      <c r="L440" s="126"/>
      <c r="M440" s="126"/>
    </row>
    <row r="441" spans="2:13">
      <c r="B441" s="126"/>
      <c r="C441" s="126"/>
      <c r="D441" s="126"/>
      <c r="E441" s="126"/>
      <c r="F441" s="126"/>
      <c r="G441" s="126"/>
      <c r="H441" s="126"/>
      <c r="I441" s="126"/>
      <c r="J441" s="126"/>
      <c r="K441" s="126"/>
      <c r="L441" s="126"/>
      <c r="M441" s="126"/>
    </row>
    <row r="442" spans="2:13">
      <c r="B442" s="126"/>
      <c r="C442" s="126"/>
      <c r="D442" s="126"/>
      <c r="E442" s="126"/>
      <c r="F442" s="126"/>
      <c r="G442" s="126"/>
      <c r="H442" s="126"/>
      <c r="I442" s="126"/>
      <c r="J442" s="126"/>
      <c r="K442" s="126"/>
      <c r="L442" s="126"/>
      <c r="M442" s="126"/>
    </row>
    <row r="443" spans="2:13">
      <c r="B443" s="126"/>
      <c r="C443" s="126"/>
      <c r="D443" s="126"/>
      <c r="E443" s="126"/>
      <c r="F443" s="126"/>
      <c r="G443" s="126"/>
      <c r="H443" s="126"/>
      <c r="I443" s="126"/>
      <c r="J443" s="126"/>
      <c r="K443" s="126"/>
      <c r="L443" s="126"/>
      <c r="M443" s="126"/>
    </row>
    <row r="444" spans="2:13">
      <c r="B444" s="126"/>
      <c r="C444" s="126"/>
      <c r="D444" s="126"/>
      <c r="E444" s="126"/>
      <c r="F444" s="126"/>
      <c r="G444" s="126"/>
      <c r="H444" s="126"/>
      <c r="I444" s="126"/>
      <c r="J444" s="126"/>
      <c r="K444" s="126"/>
      <c r="L444" s="126"/>
      <c r="M444" s="126"/>
    </row>
    <row r="445" spans="2:13">
      <c r="B445" s="126"/>
      <c r="C445" s="126"/>
      <c r="D445" s="126"/>
      <c r="E445" s="126"/>
      <c r="F445" s="126"/>
      <c r="G445" s="126"/>
      <c r="H445" s="126"/>
      <c r="I445" s="126"/>
      <c r="J445" s="126"/>
      <c r="K445" s="126"/>
      <c r="L445" s="126"/>
      <c r="M445" s="126"/>
    </row>
    <row r="446" spans="2:13">
      <c r="B446" s="126"/>
      <c r="C446" s="126"/>
      <c r="D446" s="126"/>
      <c r="E446" s="126"/>
      <c r="F446" s="126"/>
      <c r="G446" s="126"/>
      <c r="H446" s="126"/>
      <c r="I446" s="126"/>
      <c r="J446" s="126"/>
      <c r="K446" s="126"/>
      <c r="L446" s="126"/>
      <c r="M446" s="126"/>
    </row>
    <row r="447" spans="2:13">
      <c r="B447" s="126"/>
      <c r="C447" s="126"/>
      <c r="D447" s="126"/>
      <c r="E447" s="126"/>
      <c r="F447" s="126"/>
      <c r="G447" s="126"/>
      <c r="H447" s="126"/>
      <c r="I447" s="126"/>
      <c r="J447" s="126"/>
      <c r="K447" s="126"/>
      <c r="L447" s="126"/>
      <c r="M447" s="126"/>
    </row>
    <row r="448" spans="2:13">
      <c r="B448" s="126"/>
      <c r="C448" s="126"/>
      <c r="D448" s="126"/>
      <c r="E448" s="126"/>
      <c r="F448" s="126"/>
      <c r="G448" s="126"/>
      <c r="H448" s="126"/>
      <c r="I448" s="126"/>
      <c r="J448" s="126"/>
      <c r="K448" s="126"/>
      <c r="L448" s="126"/>
      <c r="M448" s="126"/>
    </row>
    <row r="449" spans="2:13">
      <c r="B449" s="126"/>
      <c r="C449" s="126"/>
      <c r="D449" s="126"/>
      <c r="E449" s="126"/>
      <c r="F449" s="126"/>
      <c r="G449" s="126"/>
      <c r="H449" s="126"/>
      <c r="I449" s="126"/>
      <c r="J449" s="126"/>
      <c r="K449" s="126"/>
      <c r="L449" s="126"/>
      <c r="M449" s="126"/>
    </row>
    <row r="450" spans="2:13">
      <c r="B450" s="126"/>
      <c r="C450" s="126"/>
      <c r="D450" s="126"/>
      <c r="E450" s="126"/>
      <c r="F450" s="126"/>
      <c r="G450" s="126"/>
      <c r="H450" s="126"/>
      <c r="I450" s="126"/>
      <c r="J450" s="126"/>
      <c r="K450" s="126"/>
      <c r="L450" s="126"/>
      <c r="M450" s="126"/>
    </row>
    <row r="451" spans="2:13">
      <c r="B451" s="126"/>
      <c r="C451" s="126"/>
      <c r="D451" s="126"/>
      <c r="E451" s="126"/>
      <c r="F451" s="126"/>
      <c r="G451" s="126"/>
      <c r="H451" s="126"/>
      <c r="I451" s="126"/>
      <c r="J451" s="126"/>
      <c r="K451" s="126"/>
      <c r="L451" s="126"/>
      <c r="M451" s="126"/>
    </row>
    <row r="452" spans="2:13">
      <c r="B452" s="126"/>
      <c r="C452" s="126"/>
      <c r="D452" s="126"/>
      <c r="E452" s="126"/>
      <c r="F452" s="126"/>
      <c r="G452" s="126"/>
      <c r="H452" s="126"/>
      <c r="I452" s="126"/>
      <c r="J452" s="126"/>
      <c r="K452" s="126"/>
      <c r="L452" s="126"/>
      <c r="M452" s="126"/>
    </row>
    <row r="453" spans="2:13">
      <c r="B453" s="126"/>
      <c r="C453" s="126"/>
      <c r="D453" s="126"/>
      <c r="E453" s="126"/>
      <c r="F453" s="126"/>
      <c r="G453" s="126"/>
      <c r="H453" s="126"/>
      <c r="I453" s="126"/>
      <c r="J453" s="126"/>
      <c r="K453" s="126"/>
      <c r="L453" s="126"/>
      <c r="M453" s="126"/>
    </row>
    <row r="454" spans="2:13">
      <c r="B454" s="126"/>
      <c r="C454" s="126"/>
      <c r="D454" s="126"/>
      <c r="E454" s="126"/>
      <c r="F454" s="126"/>
      <c r="G454" s="126"/>
      <c r="H454" s="126"/>
      <c r="I454" s="126"/>
      <c r="J454" s="126"/>
      <c r="K454" s="126"/>
      <c r="L454" s="126"/>
      <c r="M454" s="126"/>
    </row>
    <row r="455" spans="2:13">
      <c r="B455" s="126"/>
      <c r="C455" s="126"/>
      <c r="D455" s="126"/>
      <c r="E455" s="126"/>
      <c r="F455" s="126"/>
      <c r="G455" s="126"/>
      <c r="H455" s="126"/>
      <c r="I455" s="126"/>
      <c r="J455" s="126"/>
      <c r="K455" s="126"/>
      <c r="L455" s="126"/>
      <c r="M455" s="126"/>
    </row>
    <row r="456" spans="2:13">
      <c r="B456" s="126"/>
      <c r="C456" s="126"/>
      <c r="D456" s="126"/>
      <c r="E456" s="126"/>
      <c r="F456" s="126"/>
      <c r="G456" s="126"/>
      <c r="H456" s="126"/>
      <c r="I456" s="126"/>
      <c r="J456" s="126"/>
      <c r="K456" s="126"/>
      <c r="L456" s="126"/>
      <c r="M456" s="126"/>
    </row>
    <row r="457" spans="2:13">
      <c r="B457" s="126"/>
      <c r="C457" s="126"/>
      <c r="D457" s="126"/>
      <c r="E457" s="126"/>
      <c r="F457" s="126"/>
      <c r="G457" s="126"/>
      <c r="H457" s="126"/>
      <c r="I457" s="126"/>
      <c r="J457" s="126"/>
      <c r="K457" s="126"/>
      <c r="L457" s="126"/>
      <c r="M457" s="126"/>
    </row>
    <row r="458" spans="2:13">
      <c r="B458" s="126"/>
      <c r="C458" s="126"/>
      <c r="D458" s="126"/>
      <c r="E458" s="126"/>
      <c r="F458" s="126"/>
      <c r="G458" s="126"/>
      <c r="H458" s="126"/>
      <c r="I458" s="126"/>
      <c r="J458" s="126"/>
      <c r="K458" s="126"/>
      <c r="L458" s="126"/>
      <c r="M458" s="126"/>
    </row>
    <row r="459" spans="2:13">
      <c r="B459" s="126"/>
      <c r="C459" s="126"/>
      <c r="D459" s="126"/>
      <c r="E459" s="126"/>
      <c r="F459" s="126"/>
      <c r="G459" s="126"/>
      <c r="H459" s="126"/>
      <c r="I459" s="126"/>
      <c r="J459" s="126"/>
      <c r="K459" s="126"/>
      <c r="L459" s="126"/>
      <c r="M459" s="126"/>
    </row>
    <row r="460" spans="2:13">
      <c r="B460" s="126"/>
      <c r="C460" s="126"/>
      <c r="D460" s="126"/>
      <c r="E460" s="126"/>
      <c r="F460" s="126"/>
      <c r="G460" s="126"/>
      <c r="H460" s="126"/>
      <c r="I460" s="126"/>
      <c r="J460" s="126"/>
      <c r="K460" s="126"/>
      <c r="L460" s="126"/>
      <c r="M460" s="126"/>
    </row>
    <row r="461" spans="2:13">
      <c r="B461" s="126"/>
      <c r="C461" s="126"/>
      <c r="D461" s="126"/>
      <c r="E461" s="126"/>
      <c r="F461" s="126"/>
      <c r="G461" s="126"/>
      <c r="H461" s="126"/>
      <c r="I461" s="126"/>
      <c r="J461" s="126"/>
      <c r="K461" s="126"/>
      <c r="L461" s="126"/>
      <c r="M461" s="126"/>
    </row>
    <row r="462" spans="2:13">
      <c r="B462" s="126"/>
      <c r="C462" s="126"/>
      <c r="D462" s="126"/>
      <c r="E462" s="126"/>
      <c r="F462" s="126"/>
      <c r="G462" s="126"/>
      <c r="H462" s="126"/>
      <c r="I462" s="126"/>
      <c r="J462" s="126"/>
      <c r="K462" s="126"/>
      <c r="L462" s="126"/>
      <c r="M462" s="126"/>
    </row>
    <row r="463" spans="2:13">
      <c r="B463" s="126"/>
      <c r="C463" s="126"/>
      <c r="D463" s="126"/>
      <c r="E463" s="126"/>
      <c r="F463" s="126"/>
      <c r="G463" s="126"/>
      <c r="H463" s="126"/>
      <c r="I463" s="126"/>
      <c r="J463" s="126"/>
      <c r="K463" s="126"/>
      <c r="L463" s="126"/>
      <c r="M463" s="126"/>
    </row>
    <row r="464" spans="2:13">
      <c r="B464" s="126"/>
      <c r="C464" s="126"/>
      <c r="D464" s="126"/>
      <c r="E464" s="126"/>
      <c r="F464" s="126"/>
      <c r="G464" s="126"/>
      <c r="H464" s="126"/>
      <c r="I464" s="126"/>
      <c r="J464" s="126"/>
      <c r="K464" s="126"/>
      <c r="L464" s="126"/>
      <c r="M464" s="126"/>
    </row>
    <row r="465" spans="2:13">
      <c r="B465" s="126"/>
      <c r="C465" s="126"/>
      <c r="D465" s="126"/>
      <c r="E465" s="126"/>
      <c r="F465" s="126"/>
      <c r="G465" s="126"/>
      <c r="H465" s="126"/>
      <c r="I465" s="126"/>
      <c r="J465" s="126"/>
      <c r="K465" s="126"/>
      <c r="L465" s="126"/>
      <c r="M465" s="126"/>
    </row>
    <row r="466" spans="2:13">
      <c r="B466" s="126"/>
      <c r="C466" s="126"/>
      <c r="D466" s="126"/>
      <c r="E466" s="126"/>
      <c r="F466" s="126"/>
      <c r="G466" s="126"/>
      <c r="H466" s="126"/>
      <c r="I466" s="126"/>
      <c r="J466" s="126"/>
      <c r="K466" s="126"/>
      <c r="L466" s="126"/>
      <c r="M466" s="126"/>
    </row>
    <row r="467" spans="2:13">
      <c r="B467" s="126"/>
      <c r="C467" s="126"/>
      <c r="D467" s="126"/>
      <c r="E467" s="126"/>
      <c r="F467" s="126"/>
      <c r="G467" s="126"/>
      <c r="H467" s="126"/>
      <c r="I467" s="126"/>
      <c r="J467" s="126"/>
      <c r="K467" s="126"/>
      <c r="L467" s="126"/>
      <c r="M467" s="126"/>
    </row>
    <row r="468" spans="2:13">
      <c r="B468" s="126"/>
      <c r="C468" s="126"/>
      <c r="D468" s="126"/>
      <c r="E468" s="126"/>
      <c r="F468" s="126"/>
      <c r="G468" s="126"/>
      <c r="H468" s="126"/>
      <c r="I468" s="126"/>
      <c r="J468" s="126"/>
      <c r="K468" s="126"/>
      <c r="L468" s="126"/>
      <c r="M468" s="126"/>
    </row>
    <row r="469" spans="2:13">
      <c r="B469" s="126"/>
      <c r="C469" s="126"/>
      <c r="D469" s="126"/>
      <c r="E469" s="126"/>
      <c r="F469" s="126"/>
      <c r="G469" s="126"/>
      <c r="H469" s="126"/>
      <c r="I469" s="126"/>
      <c r="J469" s="126"/>
      <c r="K469" s="126"/>
      <c r="L469" s="126"/>
      <c r="M469" s="126"/>
    </row>
    <row r="470" spans="2:13">
      <c r="B470" s="126"/>
      <c r="C470" s="126"/>
      <c r="D470" s="126"/>
      <c r="E470" s="126"/>
      <c r="F470" s="126"/>
      <c r="G470" s="126"/>
      <c r="H470" s="126"/>
      <c r="I470" s="126"/>
      <c r="J470" s="126"/>
      <c r="K470" s="126"/>
      <c r="L470" s="126"/>
      <c r="M470" s="126"/>
    </row>
    <row r="471" spans="2:13">
      <c r="B471" s="126"/>
      <c r="C471" s="126"/>
      <c r="D471" s="126"/>
      <c r="E471" s="126"/>
      <c r="F471" s="126"/>
      <c r="G471" s="126"/>
      <c r="H471" s="126"/>
      <c r="I471" s="126"/>
      <c r="J471" s="126"/>
      <c r="K471" s="126"/>
      <c r="L471" s="126"/>
      <c r="M471" s="126"/>
    </row>
    <row r="472" spans="2:13">
      <c r="B472" s="126"/>
      <c r="C472" s="126"/>
      <c r="D472" s="126"/>
      <c r="E472" s="126"/>
      <c r="F472" s="126"/>
      <c r="G472" s="126"/>
      <c r="H472" s="126"/>
      <c r="I472" s="126"/>
      <c r="J472" s="126"/>
      <c r="K472" s="126"/>
      <c r="L472" s="126"/>
      <c r="M472" s="126"/>
    </row>
    <row r="473" spans="2:13">
      <c r="B473" s="126"/>
      <c r="C473" s="126"/>
      <c r="D473" s="126"/>
      <c r="E473" s="126"/>
      <c r="F473" s="126"/>
      <c r="G473" s="126"/>
      <c r="H473" s="126"/>
      <c r="I473" s="126"/>
      <c r="J473" s="126"/>
      <c r="K473" s="126"/>
      <c r="L473" s="126"/>
      <c r="M473" s="126"/>
    </row>
    <row r="474" spans="2:13">
      <c r="B474" s="126"/>
      <c r="C474" s="126"/>
      <c r="D474" s="126"/>
      <c r="E474" s="126"/>
      <c r="F474" s="126"/>
      <c r="G474" s="126"/>
      <c r="H474" s="126"/>
      <c r="I474" s="126"/>
      <c r="J474" s="126"/>
      <c r="K474" s="126"/>
      <c r="L474" s="126"/>
      <c r="M474" s="126"/>
    </row>
    <row r="475" spans="2:13">
      <c r="B475" s="126"/>
      <c r="C475" s="126"/>
      <c r="D475" s="126"/>
      <c r="E475" s="126"/>
      <c r="F475" s="126"/>
      <c r="G475" s="126"/>
      <c r="H475" s="126"/>
      <c r="I475" s="126"/>
      <c r="J475" s="126"/>
      <c r="K475" s="126"/>
      <c r="L475" s="126"/>
      <c r="M475" s="126"/>
    </row>
    <row r="476" spans="2:13">
      <c r="B476" s="126"/>
      <c r="C476" s="126"/>
      <c r="D476" s="126"/>
      <c r="E476" s="126"/>
      <c r="F476" s="126"/>
      <c r="G476" s="126"/>
      <c r="H476" s="126"/>
      <c r="I476" s="126"/>
      <c r="J476" s="126"/>
      <c r="K476" s="126"/>
      <c r="L476" s="126"/>
      <c r="M476" s="126"/>
    </row>
    <row r="477" spans="2:13">
      <c r="B477" s="126"/>
      <c r="C477" s="126"/>
      <c r="D477" s="126"/>
      <c r="E477" s="126"/>
      <c r="F477" s="126"/>
      <c r="G477" s="126"/>
      <c r="H477" s="126"/>
      <c r="I477" s="126"/>
      <c r="J477" s="126"/>
      <c r="K477" s="126"/>
      <c r="L477" s="126"/>
      <c r="M477" s="126"/>
    </row>
    <row r="478" spans="2:13">
      <c r="B478" s="126"/>
      <c r="C478" s="126"/>
      <c r="D478" s="126"/>
      <c r="E478" s="126"/>
      <c r="F478" s="126"/>
      <c r="G478" s="126"/>
      <c r="H478" s="126"/>
      <c r="I478" s="126"/>
      <c r="J478" s="126"/>
      <c r="K478" s="126"/>
      <c r="L478" s="126"/>
      <c r="M478" s="126"/>
    </row>
    <row r="479" spans="2:13">
      <c r="B479" s="126"/>
      <c r="C479" s="126"/>
      <c r="D479" s="126"/>
      <c r="E479" s="126"/>
      <c r="F479" s="126"/>
      <c r="G479" s="126"/>
      <c r="H479" s="126"/>
      <c r="I479" s="126"/>
      <c r="J479" s="126"/>
      <c r="K479" s="126"/>
      <c r="L479" s="126"/>
      <c r="M479" s="126"/>
    </row>
    <row r="480" spans="2:13">
      <c r="B480" s="126"/>
      <c r="C480" s="126"/>
      <c r="D480" s="126"/>
      <c r="E480" s="126"/>
      <c r="F480" s="126"/>
      <c r="G480" s="126"/>
      <c r="H480" s="126"/>
      <c r="I480" s="126"/>
      <c r="J480" s="126"/>
      <c r="K480" s="126"/>
      <c r="L480" s="126"/>
      <c r="M480" s="126"/>
    </row>
    <row r="481" spans="2:13">
      <c r="B481" s="126"/>
      <c r="C481" s="126"/>
      <c r="D481" s="126"/>
      <c r="E481" s="126"/>
      <c r="F481" s="126"/>
      <c r="G481" s="126"/>
      <c r="H481" s="126"/>
      <c r="I481" s="126"/>
      <c r="J481" s="126"/>
      <c r="K481" s="126"/>
      <c r="L481" s="126"/>
      <c r="M481" s="126"/>
    </row>
    <row r="482" spans="2:13">
      <c r="B482" s="126"/>
      <c r="C482" s="126"/>
      <c r="D482" s="126"/>
      <c r="E482" s="126"/>
      <c r="F482" s="126"/>
      <c r="G482" s="126"/>
      <c r="H482" s="126"/>
      <c r="I482" s="126"/>
      <c r="J482" s="126"/>
      <c r="K482" s="126"/>
      <c r="L482" s="126"/>
      <c r="M482" s="126"/>
    </row>
    <row r="483" spans="2:13">
      <c r="B483" s="126"/>
      <c r="C483" s="126"/>
      <c r="D483" s="126"/>
      <c r="E483" s="126"/>
      <c r="F483" s="126"/>
      <c r="G483" s="126"/>
      <c r="H483" s="126"/>
      <c r="I483" s="126"/>
      <c r="J483" s="126"/>
      <c r="K483" s="126"/>
      <c r="L483" s="126"/>
      <c r="M483" s="126"/>
    </row>
    <row r="484" spans="2:13">
      <c r="B484" s="126"/>
      <c r="C484" s="126"/>
      <c r="D484" s="126"/>
      <c r="E484" s="126"/>
      <c r="F484" s="126"/>
      <c r="G484" s="126"/>
      <c r="H484" s="126"/>
      <c r="I484" s="126"/>
      <c r="J484" s="126"/>
      <c r="K484" s="126"/>
      <c r="L484" s="126"/>
      <c r="M484" s="126"/>
    </row>
    <row r="485" spans="2:13">
      <c r="B485" s="126"/>
      <c r="C485" s="126"/>
      <c r="D485" s="126"/>
      <c r="E485" s="126"/>
      <c r="F485" s="126"/>
      <c r="G485" s="126"/>
      <c r="H485" s="126"/>
      <c r="I485" s="126"/>
      <c r="J485" s="126"/>
      <c r="K485" s="126"/>
      <c r="L485" s="126"/>
      <c r="M485" s="126"/>
    </row>
    <row r="486" spans="2:13">
      <c r="B486" s="126"/>
      <c r="C486" s="126"/>
      <c r="D486" s="126"/>
      <c r="E486" s="126"/>
      <c r="F486" s="126"/>
      <c r="G486" s="126"/>
      <c r="H486" s="126"/>
      <c r="I486" s="126"/>
      <c r="J486" s="126"/>
      <c r="K486" s="126"/>
      <c r="L486" s="126"/>
      <c r="M486" s="126"/>
    </row>
    <row r="487" spans="2:13">
      <c r="B487" s="126"/>
      <c r="C487" s="126"/>
      <c r="D487" s="126"/>
      <c r="E487" s="126"/>
      <c r="F487" s="126"/>
      <c r="G487" s="126"/>
      <c r="H487" s="126"/>
      <c r="I487" s="126"/>
      <c r="J487" s="126"/>
      <c r="K487" s="126"/>
      <c r="L487" s="126"/>
      <c r="M487" s="126"/>
    </row>
    <row r="488" spans="2:13">
      <c r="B488" s="126"/>
      <c r="C488" s="126"/>
      <c r="D488" s="126"/>
      <c r="E488" s="126"/>
      <c r="F488" s="126"/>
      <c r="G488" s="126"/>
      <c r="H488" s="126"/>
      <c r="I488" s="126"/>
      <c r="J488" s="126"/>
      <c r="K488" s="126"/>
      <c r="L488" s="126"/>
      <c r="M488" s="126"/>
    </row>
    <row r="489" spans="2:13">
      <c r="B489" s="126"/>
      <c r="C489" s="126"/>
      <c r="D489" s="126"/>
      <c r="E489" s="126"/>
      <c r="F489" s="126"/>
      <c r="G489" s="126"/>
      <c r="H489" s="126"/>
      <c r="I489" s="126"/>
      <c r="J489" s="126"/>
      <c r="K489" s="126"/>
      <c r="L489" s="126"/>
      <c r="M489" s="126"/>
    </row>
    <row r="490" spans="2:13">
      <c r="B490" s="126"/>
      <c r="C490" s="126"/>
      <c r="D490" s="126"/>
      <c r="E490" s="126"/>
      <c r="F490" s="126"/>
      <c r="G490" s="126"/>
      <c r="H490" s="126"/>
      <c r="I490" s="126"/>
      <c r="J490" s="126"/>
      <c r="K490" s="126"/>
      <c r="L490" s="126"/>
      <c r="M490" s="126"/>
    </row>
    <row r="491" spans="2:13">
      <c r="B491" s="126"/>
      <c r="C491" s="126"/>
      <c r="D491" s="126"/>
      <c r="E491" s="126"/>
      <c r="F491" s="126"/>
      <c r="G491" s="126"/>
      <c r="H491" s="126"/>
      <c r="I491" s="126"/>
      <c r="J491" s="126"/>
      <c r="K491" s="126"/>
      <c r="L491" s="126"/>
      <c r="M491" s="126"/>
    </row>
    <row r="492" spans="2:13">
      <c r="B492" s="126"/>
      <c r="C492" s="126"/>
      <c r="D492" s="126"/>
      <c r="E492" s="126"/>
      <c r="F492" s="126"/>
      <c r="G492" s="126"/>
      <c r="H492" s="126"/>
      <c r="I492" s="126"/>
      <c r="J492" s="126"/>
      <c r="K492" s="126"/>
      <c r="L492" s="126"/>
      <c r="M492" s="126"/>
    </row>
    <row r="493" spans="2:13">
      <c r="B493" s="126"/>
      <c r="C493" s="126"/>
      <c r="D493" s="126"/>
      <c r="E493" s="126"/>
      <c r="F493" s="126"/>
      <c r="G493" s="126"/>
      <c r="H493" s="126"/>
      <c r="I493" s="126"/>
      <c r="J493" s="126"/>
      <c r="K493" s="126"/>
      <c r="L493" s="126"/>
      <c r="M493" s="126"/>
    </row>
    <row r="494" spans="2:13">
      <c r="B494" s="126"/>
      <c r="C494" s="126"/>
      <c r="D494" s="126"/>
      <c r="E494" s="126"/>
      <c r="F494" s="126"/>
      <c r="G494" s="126"/>
      <c r="H494" s="126"/>
      <c r="I494" s="126"/>
      <c r="J494" s="126"/>
      <c r="K494" s="126"/>
      <c r="L494" s="126"/>
      <c r="M494" s="126"/>
    </row>
    <row r="495" spans="2:13">
      <c r="B495" s="126"/>
      <c r="C495" s="126"/>
      <c r="D495" s="126"/>
      <c r="E495" s="126"/>
      <c r="F495" s="126"/>
      <c r="G495" s="126"/>
      <c r="H495" s="126"/>
      <c r="I495" s="126"/>
      <c r="J495" s="126"/>
      <c r="K495" s="126"/>
      <c r="L495" s="126"/>
      <c r="M495" s="126"/>
    </row>
    <row r="496" spans="2:13">
      <c r="B496" s="126"/>
      <c r="C496" s="126"/>
      <c r="D496" s="126"/>
      <c r="E496" s="126"/>
      <c r="F496" s="126"/>
      <c r="G496" s="126"/>
      <c r="H496" s="126"/>
      <c r="I496" s="126"/>
      <c r="J496" s="126"/>
      <c r="K496" s="126"/>
      <c r="L496" s="126"/>
      <c r="M496" s="126"/>
    </row>
    <row r="497" spans="2:13">
      <c r="B497" s="126"/>
      <c r="C497" s="126"/>
      <c r="D497" s="126"/>
      <c r="E497" s="126"/>
      <c r="F497" s="126"/>
      <c r="G497" s="126"/>
      <c r="H497" s="126"/>
      <c r="I497" s="126"/>
      <c r="J497" s="126"/>
      <c r="K497" s="126"/>
      <c r="L497" s="126"/>
      <c r="M497" s="126"/>
    </row>
    <row r="498" spans="2:13">
      <c r="B498" s="126"/>
      <c r="C498" s="126"/>
      <c r="D498" s="126"/>
      <c r="E498" s="126"/>
      <c r="F498" s="126"/>
      <c r="G498" s="126"/>
      <c r="H498" s="126"/>
      <c r="I498" s="126"/>
      <c r="J498" s="126"/>
      <c r="K498" s="126"/>
      <c r="L498" s="126"/>
      <c r="M498" s="126"/>
    </row>
    <row r="499" spans="2:13">
      <c r="B499" s="126"/>
      <c r="C499" s="126"/>
      <c r="D499" s="126"/>
      <c r="E499" s="126"/>
      <c r="F499" s="126"/>
      <c r="G499" s="126"/>
      <c r="H499" s="126"/>
      <c r="I499" s="126"/>
      <c r="J499" s="126"/>
      <c r="K499" s="126"/>
      <c r="L499" s="126"/>
      <c r="M499" s="126"/>
    </row>
    <row r="500" spans="2:13">
      <c r="B500" s="126"/>
      <c r="C500" s="126"/>
      <c r="D500" s="126"/>
      <c r="E500" s="126"/>
      <c r="F500" s="126"/>
      <c r="G500" s="126"/>
      <c r="H500" s="126"/>
      <c r="I500" s="126"/>
      <c r="J500" s="126"/>
      <c r="K500" s="126"/>
      <c r="L500" s="126"/>
      <c r="M500" s="126"/>
    </row>
    <row r="501" spans="2:13">
      <c r="B501" s="126"/>
      <c r="C501" s="126"/>
      <c r="D501" s="126"/>
      <c r="E501" s="126"/>
      <c r="F501" s="126"/>
      <c r="G501" s="126"/>
      <c r="H501" s="126"/>
      <c r="I501" s="126"/>
      <c r="J501" s="126"/>
      <c r="K501" s="126"/>
      <c r="L501" s="126"/>
      <c r="M501" s="126"/>
    </row>
    <row r="502" spans="2:13">
      <c r="B502" s="126"/>
      <c r="C502" s="126"/>
      <c r="D502" s="126"/>
      <c r="E502" s="126"/>
      <c r="F502" s="126"/>
      <c r="G502" s="126"/>
      <c r="H502" s="126"/>
      <c r="I502" s="126"/>
      <c r="J502" s="126"/>
      <c r="K502" s="126"/>
      <c r="L502" s="126"/>
      <c r="M502" s="126"/>
    </row>
    <row r="503" spans="2:13">
      <c r="B503" s="126"/>
      <c r="C503" s="126"/>
      <c r="D503" s="126"/>
      <c r="E503" s="126"/>
      <c r="F503" s="126"/>
      <c r="G503" s="126"/>
      <c r="H503" s="126"/>
      <c r="I503" s="126"/>
      <c r="J503" s="126"/>
      <c r="K503" s="126"/>
      <c r="L503" s="126"/>
      <c r="M503" s="126"/>
    </row>
    <row r="504" spans="2:13">
      <c r="B504" s="126"/>
      <c r="C504" s="126"/>
      <c r="D504" s="126"/>
      <c r="E504" s="126"/>
      <c r="F504" s="126"/>
      <c r="G504" s="126"/>
      <c r="H504" s="126"/>
      <c r="I504" s="126"/>
      <c r="J504" s="126"/>
      <c r="K504" s="126"/>
      <c r="L504" s="126"/>
      <c r="M504" s="126"/>
    </row>
    <row r="505" spans="2:13">
      <c r="B505" s="126"/>
      <c r="C505" s="126"/>
      <c r="D505" s="126"/>
      <c r="E505" s="126"/>
      <c r="F505" s="126"/>
      <c r="G505" s="126"/>
      <c r="H505" s="126"/>
      <c r="I505" s="126"/>
      <c r="J505" s="126"/>
      <c r="K505" s="126"/>
      <c r="L505" s="126"/>
      <c r="M505" s="126"/>
    </row>
    <row r="506" spans="2:13">
      <c r="B506" s="126"/>
      <c r="C506" s="126"/>
      <c r="D506" s="126"/>
      <c r="E506" s="126"/>
      <c r="F506" s="126"/>
      <c r="G506" s="126"/>
      <c r="H506" s="126"/>
      <c r="I506" s="126"/>
      <c r="J506" s="126"/>
      <c r="K506" s="126"/>
      <c r="L506" s="126"/>
      <c r="M506" s="126"/>
    </row>
    <row r="507" spans="2:13">
      <c r="B507" s="126"/>
      <c r="C507" s="126"/>
      <c r="D507" s="126"/>
      <c r="E507" s="126"/>
      <c r="F507" s="126"/>
      <c r="G507" s="126"/>
      <c r="H507" s="126"/>
      <c r="I507" s="126"/>
      <c r="J507" s="126"/>
      <c r="K507" s="126"/>
      <c r="L507" s="126"/>
      <c r="M507" s="126"/>
    </row>
    <row r="508" spans="2:13">
      <c r="B508" s="126"/>
      <c r="C508" s="126"/>
      <c r="D508" s="126"/>
      <c r="E508" s="126"/>
      <c r="F508" s="126"/>
      <c r="G508" s="126"/>
      <c r="H508" s="126"/>
      <c r="I508" s="126"/>
      <c r="J508" s="126"/>
      <c r="K508" s="126"/>
      <c r="L508" s="126"/>
      <c r="M508" s="126"/>
    </row>
    <row r="509" spans="2:13">
      <c r="B509" s="126"/>
      <c r="C509" s="126"/>
      <c r="D509" s="126"/>
      <c r="E509" s="126"/>
      <c r="F509" s="126"/>
      <c r="G509" s="126"/>
      <c r="H509" s="126"/>
      <c r="I509" s="126"/>
      <c r="J509" s="126"/>
      <c r="K509" s="126"/>
      <c r="L509" s="126"/>
      <c r="M509" s="126"/>
    </row>
    <row r="510" spans="2:13">
      <c r="B510" s="126"/>
      <c r="C510" s="126"/>
      <c r="D510" s="126"/>
      <c r="E510" s="126"/>
      <c r="F510" s="126"/>
      <c r="G510" s="126"/>
      <c r="H510" s="126"/>
      <c r="I510" s="126"/>
      <c r="J510" s="126"/>
      <c r="K510" s="126"/>
      <c r="L510" s="126"/>
      <c r="M510" s="126"/>
    </row>
    <row r="511" spans="2:13">
      <c r="B511" s="126"/>
      <c r="C511" s="126"/>
      <c r="D511" s="126"/>
      <c r="E511" s="126"/>
      <c r="F511" s="126"/>
      <c r="G511" s="126"/>
      <c r="H511" s="126"/>
      <c r="I511" s="126"/>
      <c r="J511" s="126"/>
      <c r="K511" s="126"/>
      <c r="L511" s="126"/>
      <c r="M511" s="126"/>
    </row>
    <row r="512" spans="2:13">
      <c r="B512" s="126"/>
      <c r="C512" s="126"/>
      <c r="D512" s="126"/>
      <c r="E512" s="126"/>
      <c r="F512" s="126"/>
      <c r="G512" s="126"/>
      <c r="H512" s="126"/>
      <c r="I512" s="126"/>
      <c r="J512" s="126"/>
      <c r="K512" s="126"/>
      <c r="L512" s="126"/>
      <c r="M512" s="126"/>
    </row>
    <row r="513" spans="2:13">
      <c r="B513" s="126"/>
      <c r="C513" s="126"/>
      <c r="D513" s="126"/>
      <c r="E513" s="126"/>
      <c r="F513" s="126"/>
      <c r="G513" s="126"/>
      <c r="H513" s="126"/>
      <c r="I513" s="126"/>
      <c r="J513" s="126"/>
      <c r="K513" s="126"/>
      <c r="L513" s="126"/>
      <c r="M513" s="126"/>
    </row>
    <row r="514" spans="2:13">
      <c r="B514" s="126"/>
      <c r="C514" s="126"/>
      <c r="D514" s="126"/>
      <c r="E514" s="126"/>
      <c r="F514" s="126"/>
      <c r="G514" s="126"/>
      <c r="H514" s="126"/>
      <c r="I514" s="126"/>
      <c r="J514" s="126"/>
      <c r="K514" s="126"/>
      <c r="L514" s="126"/>
      <c r="M514" s="126"/>
    </row>
    <row r="515" spans="2:13">
      <c r="B515" s="126"/>
      <c r="C515" s="126"/>
      <c r="D515" s="126"/>
      <c r="E515" s="126"/>
      <c r="F515" s="126"/>
      <c r="G515" s="126"/>
      <c r="H515" s="126"/>
      <c r="I515" s="126"/>
      <c r="J515" s="126"/>
      <c r="K515" s="126"/>
      <c r="L515" s="126"/>
      <c r="M515" s="126"/>
    </row>
    <row r="516" spans="2:13">
      <c r="B516" s="126"/>
      <c r="C516" s="126"/>
      <c r="D516" s="126"/>
      <c r="E516" s="126"/>
      <c r="F516" s="126"/>
      <c r="G516" s="126"/>
      <c r="H516" s="126"/>
      <c r="I516" s="126"/>
      <c r="J516" s="126"/>
      <c r="K516" s="126"/>
      <c r="L516" s="126"/>
      <c r="M516" s="126"/>
    </row>
    <row r="517" spans="2:13">
      <c r="B517" s="126"/>
      <c r="C517" s="126"/>
      <c r="D517" s="126"/>
      <c r="E517" s="126"/>
      <c r="F517" s="126"/>
      <c r="G517" s="126"/>
      <c r="H517" s="126"/>
      <c r="I517" s="126"/>
      <c r="J517" s="126"/>
      <c r="K517" s="126"/>
      <c r="L517" s="126"/>
      <c r="M517" s="126"/>
    </row>
    <row r="518" spans="2:13">
      <c r="B518" s="126"/>
      <c r="C518" s="126"/>
      <c r="D518" s="126"/>
      <c r="E518" s="126"/>
      <c r="F518" s="126"/>
      <c r="G518" s="126"/>
      <c r="H518" s="126"/>
      <c r="I518" s="126"/>
      <c r="J518" s="126"/>
      <c r="K518" s="126"/>
      <c r="L518" s="126"/>
      <c r="M518" s="126"/>
    </row>
    <row r="519" spans="2:13">
      <c r="B519" s="126"/>
      <c r="C519" s="126"/>
      <c r="D519" s="126"/>
      <c r="E519" s="126"/>
      <c r="F519" s="126"/>
      <c r="G519" s="126"/>
      <c r="H519" s="126"/>
      <c r="I519" s="126"/>
      <c r="J519" s="126"/>
      <c r="K519" s="126"/>
      <c r="L519" s="126"/>
      <c r="M519" s="126"/>
    </row>
    <row r="520" spans="2:13">
      <c r="B520" s="126"/>
      <c r="C520" s="126"/>
      <c r="D520" s="126"/>
      <c r="E520" s="126"/>
      <c r="F520" s="126"/>
      <c r="G520" s="126"/>
      <c r="H520" s="126"/>
      <c r="I520" s="126"/>
      <c r="J520" s="126"/>
      <c r="K520" s="126"/>
      <c r="L520" s="126"/>
      <c r="M520" s="126"/>
    </row>
    <row r="521" spans="2:13">
      <c r="B521" s="126"/>
      <c r="C521" s="126"/>
      <c r="D521" s="126"/>
      <c r="E521" s="126"/>
      <c r="F521" s="126"/>
      <c r="G521" s="126"/>
      <c r="H521" s="126"/>
      <c r="I521" s="126"/>
      <c r="J521" s="126"/>
      <c r="K521" s="126"/>
      <c r="L521" s="126"/>
      <c r="M521" s="126"/>
    </row>
    <row r="522" spans="2:13">
      <c r="B522" s="126"/>
      <c r="C522" s="126"/>
      <c r="D522" s="126"/>
      <c r="E522" s="126"/>
      <c r="F522" s="126"/>
      <c r="G522" s="126"/>
      <c r="H522" s="126"/>
      <c r="I522" s="126"/>
      <c r="J522" s="126"/>
      <c r="K522" s="126"/>
      <c r="L522" s="126"/>
      <c r="M522" s="126"/>
    </row>
    <row r="523" spans="2:13">
      <c r="B523" s="126"/>
      <c r="C523" s="126"/>
      <c r="D523" s="126"/>
      <c r="E523" s="126"/>
      <c r="F523" s="126"/>
      <c r="G523" s="126"/>
      <c r="H523" s="126"/>
      <c r="I523" s="126"/>
      <c r="J523" s="126"/>
      <c r="K523" s="126"/>
      <c r="L523" s="126"/>
      <c r="M523" s="126"/>
    </row>
    <row r="524" spans="2:13">
      <c r="B524" s="126"/>
      <c r="C524" s="126"/>
      <c r="D524" s="126"/>
      <c r="E524" s="126"/>
      <c r="F524" s="126"/>
      <c r="G524" s="126"/>
      <c r="H524" s="126"/>
      <c r="I524" s="126"/>
      <c r="J524" s="126"/>
      <c r="K524" s="126"/>
      <c r="L524" s="126"/>
      <c r="M524" s="126"/>
    </row>
    <row r="525" spans="2:13">
      <c r="B525" s="126"/>
      <c r="C525" s="126"/>
      <c r="D525" s="126"/>
      <c r="E525" s="126"/>
      <c r="F525" s="126"/>
      <c r="G525" s="126"/>
      <c r="H525" s="126"/>
      <c r="I525" s="126"/>
      <c r="J525" s="126"/>
      <c r="K525" s="126"/>
      <c r="L525" s="126"/>
      <c r="M525" s="126"/>
    </row>
    <row r="526" spans="2:13">
      <c r="B526" s="126"/>
      <c r="C526" s="126"/>
      <c r="D526" s="126"/>
      <c r="E526" s="126"/>
      <c r="F526" s="126"/>
      <c r="G526" s="126"/>
      <c r="H526" s="126"/>
      <c r="I526" s="126"/>
      <c r="J526" s="126"/>
      <c r="K526" s="126"/>
      <c r="L526" s="126"/>
      <c r="M526" s="126"/>
    </row>
    <row r="527" spans="2:13">
      <c r="B527" s="126"/>
      <c r="C527" s="126"/>
      <c r="D527" s="126"/>
      <c r="E527" s="126"/>
      <c r="F527" s="126"/>
      <c r="G527" s="126"/>
      <c r="H527" s="126"/>
      <c r="I527" s="126"/>
      <c r="J527" s="126"/>
      <c r="K527" s="126"/>
      <c r="L527" s="126"/>
      <c r="M527" s="126"/>
    </row>
    <row r="528" spans="2:13">
      <c r="B528" s="126"/>
      <c r="C528" s="126"/>
      <c r="D528" s="126"/>
      <c r="E528" s="126"/>
      <c r="F528" s="126"/>
      <c r="G528" s="126"/>
      <c r="H528" s="126"/>
      <c r="I528" s="126"/>
      <c r="J528" s="126"/>
      <c r="K528" s="126"/>
      <c r="L528" s="126"/>
      <c r="M528" s="126"/>
    </row>
    <row r="529" spans="2:13">
      <c r="B529" s="126"/>
      <c r="C529" s="126"/>
      <c r="D529" s="126"/>
      <c r="E529" s="126"/>
      <c r="F529" s="126"/>
      <c r="G529" s="126"/>
      <c r="H529" s="126"/>
      <c r="I529" s="126"/>
      <c r="J529" s="126"/>
      <c r="K529" s="126"/>
      <c r="L529" s="126"/>
      <c r="M529" s="126"/>
    </row>
    <row r="530" spans="2:13">
      <c r="B530" s="126"/>
      <c r="C530" s="126"/>
      <c r="D530" s="126"/>
      <c r="E530" s="126"/>
      <c r="F530" s="126"/>
      <c r="G530" s="126"/>
      <c r="H530" s="126"/>
      <c r="I530" s="126"/>
      <c r="J530" s="126"/>
      <c r="K530" s="126"/>
      <c r="L530" s="126"/>
      <c r="M530" s="126"/>
    </row>
    <row r="531" spans="2:13">
      <c r="B531" s="126"/>
      <c r="C531" s="126"/>
      <c r="D531" s="126"/>
      <c r="E531" s="126"/>
      <c r="F531" s="126"/>
      <c r="G531" s="126"/>
      <c r="H531" s="126"/>
      <c r="I531" s="126"/>
      <c r="J531" s="126"/>
      <c r="K531" s="126"/>
      <c r="L531" s="126"/>
      <c r="M531" s="126"/>
    </row>
    <row r="532" spans="2:13">
      <c r="B532" s="126"/>
      <c r="C532" s="126"/>
      <c r="D532" s="126"/>
      <c r="E532" s="126"/>
      <c r="F532" s="126"/>
      <c r="G532" s="126"/>
      <c r="H532" s="126"/>
      <c r="I532" s="126"/>
      <c r="J532" s="126"/>
      <c r="K532" s="126"/>
      <c r="L532" s="126"/>
      <c r="M532" s="126"/>
    </row>
    <row r="533" spans="2:13">
      <c r="B533" s="126"/>
      <c r="C533" s="126"/>
      <c r="D533" s="126"/>
      <c r="E533" s="126"/>
      <c r="F533" s="126"/>
      <c r="G533" s="126"/>
      <c r="H533" s="126"/>
      <c r="I533" s="126"/>
      <c r="J533" s="126"/>
      <c r="K533" s="126"/>
      <c r="L533" s="126"/>
      <c r="M533" s="126"/>
    </row>
    <row r="534" spans="2:13">
      <c r="B534" s="126"/>
      <c r="C534" s="126"/>
      <c r="D534" s="126"/>
      <c r="E534" s="126"/>
      <c r="F534" s="126"/>
      <c r="G534" s="126"/>
      <c r="H534" s="126"/>
      <c r="I534" s="126"/>
      <c r="J534" s="126"/>
      <c r="K534" s="126"/>
      <c r="L534" s="126"/>
      <c r="M534" s="126"/>
    </row>
    <row r="535" spans="2:13">
      <c r="B535" s="126"/>
      <c r="C535" s="126"/>
      <c r="D535" s="126"/>
      <c r="E535" s="126"/>
      <c r="F535" s="126"/>
      <c r="G535" s="126"/>
      <c r="H535" s="126"/>
      <c r="I535" s="126"/>
      <c r="J535" s="126"/>
      <c r="K535" s="126"/>
      <c r="L535" s="126"/>
      <c r="M535" s="126"/>
    </row>
    <row r="536" spans="2:13">
      <c r="B536" s="126"/>
      <c r="C536" s="126"/>
      <c r="D536" s="126"/>
      <c r="E536" s="126"/>
      <c r="F536" s="126"/>
      <c r="G536" s="126"/>
      <c r="H536" s="126"/>
      <c r="I536" s="126"/>
      <c r="J536" s="126"/>
      <c r="K536" s="126"/>
      <c r="L536" s="126"/>
      <c r="M536" s="126"/>
    </row>
    <row r="537" spans="2:13">
      <c r="B537" s="126"/>
      <c r="C537" s="126"/>
      <c r="D537" s="126"/>
      <c r="E537" s="126"/>
      <c r="F537" s="126"/>
      <c r="G537" s="126"/>
      <c r="H537" s="126"/>
      <c r="I537" s="126"/>
      <c r="J537" s="126"/>
      <c r="K537" s="126"/>
      <c r="L537" s="126"/>
      <c r="M537" s="126"/>
    </row>
    <row r="538" spans="2:13">
      <c r="B538" s="126"/>
      <c r="C538" s="126"/>
      <c r="D538" s="126"/>
      <c r="E538" s="126"/>
      <c r="F538" s="126"/>
      <c r="G538" s="126"/>
      <c r="H538" s="126"/>
      <c r="I538" s="126"/>
      <c r="J538" s="126"/>
      <c r="K538" s="126"/>
      <c r="L538" s="126"/>
      <c r="M538" s="126"/>
    </row>
    <row r="539" spans="2:13">
      <c r="B539" s="126"/>
      <c r="C539" s="126"/>
      <c r="D539" s="126"/>
      <c r="E539" s="126"/>
      <c r="F539" s="126"/>
      <c r="G539" s="126"/>
      <c r="H539" s="126"/>
      <c r="I539" s="126"/>
      <c r="J539" s="126"/>
      <c r="K539" s="126"/>
      <c r="L539" s="126"/>
      <c r="M539" s="126"/>
    </row>
    <row r="540" spans="2:13">
      <c r="B540" s="126"/>
      <c r="C540" s="126"/>
      <c r="D540" s="126"/>
      <c r="E540" s="126"/>
      <c r="F540" s="126"/>
      <c r="G540" s="126"/>
      <c r="H540" s="126"/>
      <c r="I540" s="126"/>
      <c r="J540" s="126"/>
      <c r="K540" s="126"/>
      <c r="L540" s="126"/>
      <c r="M540" s="126"/>
    </row>
    <row r="541" spans="2:13">
      <c r="B541" s="126"/>
      <c r="C541" s="126"/>
      <c r="D541" s="126"/>
      <c r="E541" s="126"/>
      <c r="F541" s="126"/>
      <c r="G541" s="126"/>
      <c r="H541" s="126"/>
      <c r="I541" s="126"/>
      <c r="J541" s="126"/>
      <c r="K541" s="126"/>
      <c r="L541" s="126"/>
      <c r="M541" s="126"/>
    </row>
    <row r="542" spans="2:13">
      <c r="B542" s="126"/>
      <c r="C542" s="126"/>
      <c r="D542" s="126"/>
      <c r="E542" s="126"/>
      <c r="F542" s="126"/>
      <c r="G542" s="126"/>
      <c r="H542" s="126"/>
      <c r="I542" s="126"/>
      <c r="J542" s="126"/>
      <c r="K542" s="126"/>
      <c r="L542" s="126"/>
      <c r="M542" s="126"/>
    </row>
    <row r="543" spans="2:13">
      <c r="B543" s="126"/>
      <c r="C543" s="126"/>
      <c r="D543" s="126"/>
      <c r="E543" s="126"/>
      <c r="F543" s="126"/>
      <c r="G543" s="126"/>
      <c r="H543" s="126"/>
      <c r="I543" s="126"/>
      <c r="J543" s="126"/>
      <c r="K543" s="126"/>
      <c r="L543" s="126"/>
      <c r="M543" s="126"/>
    </row>
    <row r="544" spans="2:13">
      <c r="B544" s="126"/>
      <c r="C544" s="126"/>
      <c r="D544" s="126"/>
      <c r="E544" s="126"/>
      <c r="F544" s="126"/>
      <c r="G544" s="126"/>
      <c r="H544" s="126"/>
      <c r="I544" s="126"/>
      <c r="J544" s="126"/>
      <c r="K544" s="126"/>
      <c r="L544" s="126"/>
      <c r="M544" s="126"/>
    </row>
    <row r="545" spans="2:13">
      <c r="B545" s="126"/>
      <c r="C545" s="126"/>
      <c r="D545" s="126"/>
      <c r="E545" s="126"/>
      <c r="F545" s="126"/>
      <c r="G545" s="126"/>
      <c r="H545" s="126"/>
      <c r="I545" s="126"/>
      <c r="J545" s="126"/>
      <c r="K545" s="126"/>
      <c r="L545" s="126"/>
      <c r="M545" s="126"/>
    </row>
    <row r="546" spans="2:13">
      <c r="B546" s="126"/>
      <c r="C546" s="126"/>
      <c r="D546" s="126"/>
      <c r="E546" s="126"/>
      <c r="F546" s="126"/>
      <c r="G546" s="126"/>
      <c r="H546" s="126"/>
      <c r="I546" s="126"/>
      <c r="J546" s="126"/>
      <c r="K546" s="126"/>
      <c r="L546" s="126"/>
      <c r="M546" s="126"/>
    </row>
    <row r="547" spans="2:13">
      <c r="B547" s="126"/>
      <c r="C547" s="126"/>
      <c r="D547" s="126"/>
      <c r="E547" s="126"/>
      <c r="F547" s="126"/>
      <c r="G547" s="126"/>
      <c r="H547" s="126"/>
      <c r="I547" s="126"/>
      <c r="J547" s="126"/>
      <c r="K547" s="126"/>
      <c r="L547" s="126"/>
      <c r="M547" s="126"/>
    </row>
    <row r="548" spans="2:13">
      <c r="B548" s="126"/>
      <c r="C548" s="126"/>
      <c r="D548" s="126"/>
      <c r="E548" s="126"/>
      <c r="F548" s="126"/>
      <c r="G548" s="126"/>
      <c r="H548" s="126"/>
      <c r="I548" s="126"/>
      <c r="J548" s="126"/>
      <c r="K548" s="126"/>
      <c r="L548" s="126"/>
      <c r="M548" s="126"/>
    </row>
    <row r="549" spans="2:13">
      <c r="B549" s="126"/>
      <c r="C549" s="126"/>
      <c r="D549" s="126"/>
      <c r="E549" s="126"/>
      <c r="F549" s="126"/>
      <c r="G549" s="126"/>
      <c r="H549" s="126"/>
      <c r="I549" s="126"/>
      <c r="J549" s="126"/>
      <c r="K549" s="126"/>
      <c r="L549" s="126"/>
      <c r="M549" s="126"/>
    </row>
    <row r="550" spans="2:13">
      <c r="B550" s="126"/>
      <c r="C550" s="126"/>
      <c r="D550" s="126"/>
      <c r="E550" s="126"/>
      <c r="F550" s="126"/>
      <c r="G550" s="126"/>
      <c r="H550" s="126"/>
      <c r="I550" s="126"/>
      <c r="J550" s="126"/>
      <c r="K550" s="126"/>
      <c r="L550" s="126"/>
      <c r="M550" s="126"/>
    </row>
    <row r="551" spans="2:13">
      <c r="B551" s="126"/>
      <c r="C551" s="126"/>
      <c r="D551" s="126"/>
      <c r="E551" s="126"/>
      <c r="F551" s="126"/>
      <c r="G551" s="126"/>
      <c r="H551" s="126"/>
      <c r="I551" s="126"/>
      <c r="J551" s="126"/>
      <c r="K551" s="126"/>
      <c r="L551" s="126"/>
      <c r="M551" s="126"/>
    </row>
    <row r="552" spans="2:13">
      <c r="B552" s="126"/>
      <c r="C552" s="126"/>
      <c r="D552" s="126"/>
      <c r="E552" s="126"/>
      <c r="F552" s="126"/>
      <c r="G552" s="126"/>
      <c r="H552" s="126"/>
      <c r="I552" s="126"/>
      <c r="J552" s="126"/>
      <c r="K552" s="126"/>
      <c r="L552" s="126"/>
      <c r="M552" s="126"/>
    </row>
    <row r="553" spans="2:13">
      <c r="B553" s="126"/>
      <c r="C553" s="126"/>
      <c r="D553" s="126"/>
      <c r="E553" s="126"/>
      <c r="F553" s="126"/>
      <c r="G553" s="126"/>
      <c r="H553" s="126"/>
      <c r="I553" s="126"/>
      <c r="J553" s="126"/>
      <c r="K553" s="126"/>
      <c r="L553" s="126"/>
      <c r="M553" s="126"/>
    </row>
    <row r="554" spans="2:13">
      <c r="B554" s="126"/>
      <c r="C554" s="126"/>
      <c r="D554" s="126"/>
      <c r="E554" s="126"/>
      <c r="F554" s="126"/>
      <c r="G554" s="126"/>
      <c r="H554" s="126"/>
      <c r="I554" s="126"/>
      <c r="J554" s="126"/>
      <c r="K554" s="126"/>
      <c r="L554" s="126"/>
      <c r="M554" s="126"/>
    </row>
    <row r="555" spans="2:13">
      <c r="B555" s="126"/>
      <c r="C555" s="126"/>
      <c r="D555" s="126"/>
      <c r="E555" s="126"/>
      <c r="F555" s="126"/>
      <c r="G555" s="126"/>
      <c r="H555" s="126"/>
      <c r="I555" s="126"/>
      <c r="J555" s="126"/>
      <c r="K555" s="126"/>
      <c r="L555" s="126"/>
      <c r="M555" s="126"/>
    </row>
    <row r="556" spans="2:13">
      <c r="B556" s="126"/>
      <c r="C556" s="126"/>
      <c r="D556" s="126"/>
      <c r="E556" s="126"/>
      <c r="F556" s="126"/>
      <c r="G556" s="126"/>
      <c r="H556" s="126"/>
      <c r="I556" s="126"/>
      <c r="J556" s="126"/>
      <c r="K556" s="126"/>
      <c r="L556" s="126"/>
      <c r="M556" s="126"/>
    </row>
    <row r="557" spans="2:13">
      <c r="B557" s="126"/>
      <c r="C557" s="126"/>
      <c r="D557" s="126"/>
      <c r="E557" s="126"/>
      <c r="F557" s="126"/>
      <c r="G557" s="126"/>
      <c r="H557" s="126"/>
      <c r="I557" s="126"/>
      <c r="J557" s="126"/>
      <c r="K557" s="126"/>
      <c r="L557" s="126"/>
      <c r="M557" s="126"/>
    </row>
    <row r="558" spans="2:13">
      <c r="B558" s="126"/>
      <c r="C558" s="126"/>
      <c r="D558" s="126"/>
      <c r="E558" s="126"/>
      <c r="F558" s="126"/>
      <c r="G558" s="126"/>
      <c r="H558" s="126"/>
      <c r="I558" s="126"/>
      <c r="J558" s="126"/>
      <c r="K558" s="126"/>
      <c r="L558" s="126"/>
      <c r="M558" s="126"/>
    </row>
    <row r="559" spans="2:13">
      <c r="B559" s="126"/>
      <c r="C559" s="126"/>
      <c r="D559" s="126"/>
      <c r="E559" s="126"/>
      <c r="F559" s="126"/>
      <c r="G559" s="126"/>
      <c r="H559" s="126"/>
      <c r="I559" s="126"/>
      <c r="J559" s="126"/>
      <c r="K559" s="126"/>
      <c r="L559" s="126"/>
      <c r="M559" s="126"/>
    </row>
    <row r="560" spans="2:13">
      <c r="B560" s="126"/>
      <c r="C560" s="126"/>
      <c r="D560" s="126"/>
      <c r="E560" s="126"/>
      <c r="F560" s="126"/>
      <c r="G560" s="126"/>
      <c r="H560" s="126"/>
      <c r="I560" s="126"/>
      <c r="J560" s="126"/>
      <c r="K560" s="126"/>
      <c r="L560" s="126"/>
      <c r="M560" s="126"/>
    </row>
    <row r="561" spans="2:13">
      <c r="B561" s="126"/>
      <c r="C561" s="126"/>
      <c r="D561" s="126"/>
      <c r="E561" s="126"/>
      <c r="F561" s="126"/>
      <c r="G561" s="126"/>
      <c r="H561" s="126"/>
      <c r="I561" s="126"/>
      <c r="J561" s="126"/>
      <c r="K561" s="126"/>
      <c r="L561" s="126"/>
      <c r="M561" s="126"/>
    </row>
    <row r="562" spans="2:13">
      <c r="B562" s="126"/>
      <c r="C562" s="126"/>
      <c r="D562" s="126"/>
      <c r="E562" s="126"/>
      <c r="F562" s="126"/>
      <c r="G562" s="126"/>
      <c r="H562" s="126"/>
      <c r="I562" s="126"/>
      <c r="J562" s="126"/>
      <c r="K562" s="126"/>
      <c r="L562" s="126"/>
      <c r="M562" s="126"/>
    </row>
    <row r="563" spans="2:13">
      <c r="B563" s="126"/>
      <c r="C563" s="126"/>
      <c r="D563" s="126"/>
      <c r="E563" s="126"/>
      <c r="F563" s="126"/>
      <c r="G563" s="126"/>
      <c r="H563" s="126"/>
      <c r="I563" s="126"/>
      <c r="J563" s="126"/>
      <c r="K563" s="126"/>
      <c r="L563" s="126"/>
      <c r="M563" s="126"/>
    </row>
    <row r="564" spans="2:13">
      <c r="B564" s="126"/>
      <c r="C564" s="126"/>
      <c r="D564" s="126"/>
      <c r="E564" s="126"/>
      <c r="F564" s="126"/>
      <c r="G564" s="126"/>
      <c r="H564" s="126"/>
      <c r="I564" s="126"/>
      <c r="J564" s="126"/>
      <c r="K564" s="126"/>
      <c r="L564" s="126"/>
      <c r="M564" s="126"/>
    </row>
    <row r="565" spans="2:13">
      <c r="B565" s="126"/>
      <c r="C565" s="126"/>
      <c r="D565" s="126"/>
      <c r="E565" s="126"/>
      <c r="F565" s="126"/>
      <c r="G565" s="126"/>
      <c r="H565" s="126"/>
      <c r="I565" s="126"/>
      <c r="J565" s="126"/>
      <c r="K565" s="126"/>
      <c r="L565" s="126"/>
      <c r="M565" s="126"/>
    </row>
    <row r="566" spans="2:13">
      <c r="B566" s="126"/>
      <c r="C566" s="126"/>
      <c r="D566" s="126"/>
      <c r="E566" s="126"/>
      <c r="F566" s="126"/>
      <c r="G566" s="126"/>
      <c r="H566" s="126"/>
      <c r="I566" s="126"/>
      <c r="J566" s="126"/>
      <c r="K566" s="126"/>
      <c r="L566" s="126"/>
      <c r="M566" s="126"/>
    </row>
    <row r="567" spans="2:13">
      <c r="B567" s="126"/>
      <c r="C567" s="126"/>
      <c r="D567" s="126"/>
      <c r="E567" s="126"/>
      <c r="F567" s="126"/>
      <c r="G567" s="126"/>
      <c r="H567" s="126"/>
      <c r="I567" s="126"/>
      <c r="J567" s="126"/>
      <c r="K567" s="126"/>
      <c r="L567" s="126"/>
      <c r="M567" s="126"/>
    </row>
    <row r="568" spans="2:13">
      <c r="B568" s="126"/>
      <c r="C568" s="126"/>
      <c r="D568" s="126"/>
      <c r="E568" s="126"/>
      <c r="F568" s="126"/>
      <c r="G568" s="126"/>
      <c r="H568" s="126"/>
      <c r="I568" s="126"/>
      <c r="J568" s="126"/>
      <c r="K568" s="126"/>
      <c r="L568" s="126"/>
      <c r="M568" s="126"/>
    </row>
    <row r="569" spans="2:13">
      <c r="B569" s="126"/>
      <c r="C569" s="126"/>
      <c r="D569" s="126"/>
      <c r="E569" s="126"/>
      <c r="F569" s="126"/>
      <c r="G569" s="126"/>
      <c r="H569" s="126"/>
      <c r="I569" s="126"/>
      <c r="J569" s="126"/>
      <c r="K569" s="126"/>
      <c r="L569" s="126"/>
      <c r="M569" s="126"/>
    </row>
    <row r="570" spans="2:13">
      <c r="B570" s="126"/>
      <c r="C570" s="126"/>
      <c r="D570" s="126"/>
      <c r="E570" s="126"/>
      <c r="F570" s="126"/>
      <c r="G570" s="126"/>
      <c r="H570" s="126"/>
      <c r="I570" s="126"/>
      <c r="J570" s="126"/>
      <c r="K570" s="126"/>
      <c r="L570" s="126"/>
      <c r="M570" s="126"/>
    </row>
    <row r="571" spans="2:13">
      <c r="B571" s="126"/>
      <c r="C571" s="126"/>
      <c r="D571" s="126"/>
      <c r="E571" s="126"/>
      <c r="F571" s="126"/>
      <c r="G571" s="126"/>
      <c r="H571" s="126"/>
      <c r="I571" s="126"/>
      <c r="J571" s="126"/>
      <c r="K571" s="126"/>
      <c r="L571" s="126"/>
      <c r="M571" s="126"/>
    </row>
    <row r="572" spans="2:13">
      <c r="B572" s="126"/>
      <c r="C572" s="126"/>
      <c r="D572" s="126"/>
      <c r="E572" s="126"/>
      <c r="F572" s="126"/>
      <c r="G572" s="126"/>
      <c r="H572" s="126"/>
      <c r="I572" s="126"/>
      <c r="J572" s="126"/>
      <c r="K572" s="126"/>
      <c r="L572" s="126"/>
      <c r="M572" s="126"/>
    </row>
    <row r="573" spans="2:13">
      <c r="B573" s="126"/>
      <c r="C573" s="126"/>
      <c r="D573" s="126"/>
      <c r="E573" s="126"/>
      <c r="F573" s="126"/>
      <c r="G573" s="126"/>
      <c r="H573" s="126"/>
      <c r="I573" s="126"/>
      <c r="J573" s="126"/>
      <c r="K573" s="126"/>
      <c r="L573" s="126"/>
      <c r="M573" s="126"/>
    </row>
    <row r="574" spans="2:13">
      <c r="B574" s="126"/>
      <c r="C574" s="126"/>
      <c r="D574" s="126"/>
      <c r="E574" s="126"/>
      <c r="F574" s="126"/>
      <c r="G574" s="126"/>
      <c r="H574" s="126"/>
      <c r="I574" s="126"/>
      <c r="J574" s="126"/>
      <c r="K574" s="126"/>
      <c r="L574" s="126"/>
      <c r="M574" s="126"/>
    </row>
    <row r="575" spans="2:13">
      <c r="B575" s="126"/>
      <c r="C575" s="126"/>
      <c r="D575" s="126"/>
      <c r="E575" s="126"/>
      <c r="F575" s="126"/>
      <c r="G575" s="126"/>
      <c r="H575" s="126"/>
      <c r="I575" s="126"/>
      <c r="J575" s="126"/>
      <c r="K575" s="126"/>
      <c r="L575" s="126"/>
      <c r="M575" s="126"/>
    </row>
    <row r="576" spans="2:13">
      <c r="B576" s="126"/>
      <c r="C576" s="126"/>
      <c r="D576" s="126"/>
      <c r="E576" s="126"/>
      <c r="F576" s="126"/>
      <c r="G576" s="126"/>
      <c r="H576" s="126"/>
      <c r="I576" s="126"/>
      <c r="J576" s="126"/>
      <c r="K576" s="126"/>
      <c r="L576" s="126"/>
      <c r="M576" s="126"/>
    </row>
    <row r="577" spans="2:13">
      <c r="B577" s="126"/>
      <c r="C577" s="126"/>
      <c r="D577" s="126"/>
      <c r="E577" s="126"/>
      <c r="F577" s="126"/>
      <c r="G577" s="126"/>
      <c r="H577" s="126"/>
      <c r="I577" s="126"/>
      <c r="J577" s="126"/>
      <c r="K577" s="126"/>
      <c r="L577" s="126"/>
      <c r="M577" s="126"/>
    </row>
    <row r="578" spans="2:13">
      <c r="B578" s="126"/>
      <c r="C578" s="126"/>
      <c r="D578" s="126"/>
      <c r="E578" s="126"/>
      <c r="F578" s="126"/>
      <c r="G578" s="126"/>
      <c r="H578" s="126"/>
      <c r="I578" s="126"/>
      <c r="J578" s="126"/>
      <c r="K578" s="126"/>
      <c r="L578" s="126"/>
      <c r="M578" s="126"/>
    </row>
    <row r="579" spans="2:13">
      <c r="B579" s="126"/>
      <c r="C579" s="126"/>
      <c r="D579" s="126"/>
      <c r="E579" s="126"/>
      <c r="F579" s="126"/>
      <c r="G579" s="126"/>
      <c r="H579" s="126"/>
      <c r="I579" s="126"/>
      <c r="J579" s="126"/>
      <c r="K579" s="126"/>
      <c r="L579" s="126"/>
      <c r="M579" s="126"/>
    </row>
    <row r="580" spans="2:13">
      <c r="B580" s="126"/>
      <c r="C580" s="126"/>
      <c r="D580" s="126"/>
      <c r="E580" s="126"/>
      <c r="F580" s="126"/>
      <c r="G580" s="126"/>
      <c r="H580" s="126"/>
      <c r="I580" s="126"/>
      <c r="J580" s="126"/>
      <c r="K580" s="126"/>
      <c r="L580" s="126"/>
      <c r="M580" s="126"/>
    </row>
    <row r="581" spans="2:13">
      <c r="B581" s="126"/>
      <c r="C581" s="126"/>
      <c r="D581" s="126"/>
      <c r="E581" s="126"/>
      <c r="F581" s="126"/>
      <c r="G581" s="126"/>
      <c r="H581" s="126"/>
      <c r="I581" s="126"/>
      <c r="J581" s="126"/>
      <c r="K581" s="126"/>
      <c r="L581" s="126"/>
      <c r="M581" s="126"/>
    </row>
    <row r="582" spans="2:13">
      <c r="B582" s="126"/>
      <c r="C582" s="126"/>
      <c r="D582" s="126"/>
      <c r="E582" s="126"/>
      <c r="F582" s="126"/>
      <c r="G582" s="126"/>
      <c r="H582" s="126"/>
      <c r="I582" s="126"/>
      <c r="J582" s="126"/>
      <c r="K582" s="126"/>
      <c r="L582" s="126"/>
      <c r="M582" s="126"/>
    </row>
    <row r="583" spans="2:13">
      <c r="B583" s="126"/>
      <c r="C583" s="126"/>
      <c r="D583" s="126"/>
      <c r="E583" s="126"/>
      <c r="F583" s="126"/>
      <c r="G583" s="126"/>
      <c r="H583" s="126"/>
      <c r="I583" s="126"/>
      <c r="J583" s="126"/>
      <c r="K583" s="126"/>
      <c r="L583" s="126"/>
      <c r="M583" s="126"/>
    </row>
    <row r="584" spans="2:13">
      <c r="B584" s="126"/>
      <c r="C584" s="126"/>
      <c r="D584" s="126"/>
      <c r="E584" s="126"/>
      <c r="F584" s="126"/>
      <c r="G584" s="126"/>
      <c r="H584" s="126"/>
      <c r="I584" s="126"/>
      <c r="J584" s="126"/>
      <c r="K584" s="126"/>
      <c r="L584" s="126"/>
      <c r="M584" s="126"/>
    </row>
    <row r="585" spans="2:13">
      <c r="B585" s="126"/>
      <c r="C585" s="126"/>
      <c r="D585" s="126"/>
      <c r="E585" s="126"/>
      <c r="F585" s="126"/>
      <c r="G585" s="126"/>
      <c r="H585" s="126"/>
      <c r="I585" s="126"/>
      <c r="J585" s="126"/>
      <c r="K585" s="126"/>
      <c r="L585" s="126"/>
      <c r="M585" s="126"/>
    </row>
    <row r="586" spans="2:13">
      <c r="B586" s="126"/>
      <c r="C586" s="126"/>
      <c r="D586" s="126"/>
      <c r="E586" s="126"/>
      <c r="F586" s="126"/>
      <c r="G586" s="126"/>
      <c r="H586" s="126"/>
      <c r="I586" s="126"/>
      <c r="J586" s="126"/>
      <c r="K586" s="126"/>
      <c r="L586" s="126"/>
      <c r="M586" s="126"/>
    </row>
    <row r="587" spans="2:13">
      <c r="B587" s="126"/>
      <c r="C587" s="126"/>
      <c r="D587" s="126"/>
      <c r="E587" s="126"/>
      <c r="F587" s="126"/>
      <c r="G587" s="126"/>
      <c r="H587" s="126"/>
      <c r="I587" s="126"/>
      <c r="J587" s="126"/>
      <c r="K587" s="126"/>
      <c r="L587" s="126"/>
      <c r="M587" s="126"/>
    </row>
    <row r="588" spans="2:13">
      <c r="B588" s="126"/>
      <c r="C588" s="126"/>
      <c r="D588" s="126"/>
      <c r="E588" s="126"/>
      <c r="F588" s="126"/>
      <c r="G588" s="126"/>
      <c r="H588" s="126"/>
      <c r="I588" s="126"/>
      <c r="J588" s="126"/>
      <c r="K588" s="126"/>
      <c r="L588" s="126"/>
      <c r="M588" s="126"/>
    </row>
    <row r="589" spans="2:13">
      <c r="B589" s="126"/>
      <c r="C589" s="126"/>
      <c r="D589" s="126"/>
      <c r="E589" s="126"/>
      <c r="F589" s="126"/>
      <c r="G589" s="126"/>
      <c r="H589" s="126"/>
      <c r="I589" s="126"/>
      <c r="J589" s="126"/>
      <c r="K589" s="126"/>
      <c r="L589" s="126"/>
      <c r="M589" s="126"/>
    </row>
    <row r="590" spans="2:13">
      <c r="B590" s="126"/>
      <c r="C590" s="126"/>
      <c r="D590" s="126"/>
      <c r="E590" s="126"/>
      <c r="F590" s="126"/>
      <c r="G590" s="126"/>
      <c r="H590" s="126"/>
      <c r="I590" s="126"/>
      <c r="J590" s="126"/>
      <c r="K590" s="126"/>
      <c r="L590" s="126"/>
      <c r="M590" s="126"/>
    </row>
    <row r="591" spans="2:13">
      <c r="B591" s="126"/>
      <c r="C591" s="126"/>
      <c r="D591" s="126"/>
      <c r="E591" s="126"/>
      <c r="F591" s="126"/>
      <c r="G591" s="126"/>
      <c r="H591" s="126"/>
      <c r="I591" s="126"/>
      <c r="J591" s="126"/>
      <c r="K591" s="126"/>
      <c r="L591" s="126"/>
      <c r="M591" s="126"/>
    </row>
    <row r="592" spans="2:13">
      <c r="B592" s="126"/>
      <c r="C592" s="126"/>
      <c r="D592" s="126"/>
      <c r="E592" s="126"/>
      <c r="F592" s="126"/>
      <c r="G592" s="126"/>
      <c r="H592" s="126"/>
      <c r="I592" s="126"/>
      <c r="J592" s="126"/>
      <c r="K592" s="126"/>
      <c r="L592" s="126"/>
      <c r="M592" s="126"/>
    </row>
    <row r="593" spans="2:13">
      <c r="B593" s="126"/>
      <c r="C593" s="126"/>
      <c r="D593" s="126"/>
      <c r="E593" s="126"/>
      <c r="F593" s="126"/>
      <c r="G593" s="126"/>
      <c r="H593" s="126"/>
      <c r="I593" s="126"/>
      <c r="J593" s="126"/>
      <c r="K593" s="126"/>
      <c r="L593" s="126"/>
      <c r="M593" s="126"/>
    </row>
    <row r="594" spans="2:13">
      <c r="B594" s="126"/>
      <c r="C594" s="126"/>
      <c r="D594" s="126"/>
      <c r="E594" s="126"/>
      <c r="F594" s="126"/>
      <c r="G594" s="126"/>
      <c r="H594" s="126"/>
      <c r="I594" s="126"/>
      <c r="J594" s="126"/>
      <c r="K594" s="126"/>
      <c r="L594" s="126"/>
      <c r="M594" s="126"/>
    </row>
    <row r="595" spans="2:13">
      <c r="B595" s="126"/>
      <c r="C595" s="126"/>
      <c r="D595" s="126"/>
      <c r="E595" s="126"/>
      <c r="F595" s="126"/>
      <c r="G595" s="126"/>
      <c r="H595" s="126"/>
      <c r="I595" s="126"/>
      <c r="J595" s="126"/>
      <c r="K595" s="126"/>
      <c r="L595" s="126"/>
      <c r="M595" s="126"/>
    </row>
    <row r="596" spans="2:13">
      <c r="B596" s="126"/>
      <c r="C596" s="126"/>
      <c r="D596" s="126"/>
      <c r="E596" s="126"/>
      <c r="F596" s="126"/>
      <c r="G596" s="126"/>
      <c r="H596" s="126"/>
      <c r="I596" s="126"/>
      <c r="J596" s="126"/>
      <c r="K596" s="126"/>
      <c r="L596" s="126"/>
      <c r="M596" s="126"/>
    </row>
    <row r="597" spans="2:13">
      <c r="B597" s="126"/>
      <c r="C597" s="126"/>
      <c r="D597" s="126"/>
      <c r="E597" s="126"/>
      <c r="F597" s="126"/>
      <c r="G597" s="126"/>
      <c r="H597" s="126"/>
      <c r="I597" s="126"/>
      <c r="J597" s="126"/>
      <c r="K597" s="126"/>
      <c r="L597" s="126"/>
      <c r="M597" s="126"/>
    </row>
    <row r="598" spans="2:13">
      <c r="B598" s="126"/>
      <c r="C598" s="126"/>
      <c r="D598" s="126"/>
      <c r="E598" s="126"/>
      <c r="F598" s="126"/>
      <c r="G598" s="126"/>
      <c r="H598" s="126"/>
      <c r="I598" s="126"/>
      <c r="J598" s="126"/>
      <c r="K598" s="126"/>
      <c r="L598" s="126"/>
      <c r="M598" s="126"/>
    </row>
    <row r="599" spans="2:13">
      <c r="B599" s="126"/>
      <c r="C599" s="126"/>
      <c r="D599" s="126"/>
      <c r="E599" s="126"/>
      <c r="F599" s="126"/>
      <c r="G599" s="126"/>
      <c r="H599" s="126"/>
      <c r="I599" s="126"/>
      <c r="J599" s="126"/>
      <c r="K599" s="126"/>
      <c r="L599" s="126"/>
      <c r="M599" s="126"/>
    </row>
    <row r="600" spans="2:13">
      <c r="B600" s="126"/>
      <c r="C600" s="126"/>
      <c r="D600" s="126"/>
      <c r="E600" s="126"/>
      <c r="F600" s="126"/>
      <c r="G600" s="126"/>
      <c r="H600" s="126"/>
      <c r="I600" s="126"/>
      <c r="J600" s="126"/>
      <c r="K600" s="126"/>
      <c r="L600" s="126"/>
      <c r="M600" s="126"/>
    </row>
    <row r="601" spans="2:13">
      <c r="B601" s="126"/>
      <c r="C601" s="126"/>
      <c r="D601" s="126"/>
      <c r="E601" s="126"/>
      <c r="F601" s="126"/>
      <c r="G601" s="126"/>
      <c r="H601" s="126"/>
      <c r="I601" s="126"/>
      <c r="J601" s="126"/>
      <c r="K601" s="126"/>
      <c r="L601" s="126"/>
      <c r="M601" s="126"/>
    </row>
    <row r="602" spans="2:13">
      <c r="B602" s="126"/>
      <c r="C602" s="126"/>
      <c r="D602" s="126"/>
      <c r="E602" s="126"/>
      <c r="F602" s="126"/>
      <c r="G602" s="126"/>
      <c r="H602" s="126"/>
      <c r="I602" s="126"/>
      <c r="J602" s="126"/>
      <c r="K602" s="126"/>
      <c r="L602" s="126"/>
      <c r="M602" s="126"/>
    </row>
    <row r="603" spans="2:13">
      <c r="B603" s="126"/>
      <c r="C603" s="126"/>
      <c r="D603" s="126"/>
      <c r="E603" s="126"/>
      <c r="F603" s="126"/>
      <c r="G603" s="126"/>
      <c r="H603" s="126"/>
      <c r="I603" s="126"/>
      <c r="J603" s="126"/>
      <c r="K603" s="126"/>
      <c r="L603" s="126"/>
      <c r="M603" s="126"/>
    </row>
    <row r="604" spans="2:13">
      <c r="B604" s="126"/>
      <c r="C604" s="126"/>
      <c r="D604" s="126"/>
      <c r="E604" s="126"/>
      <c r="F604" s="126"/>
      <c r="G604" s="126"/>
      <c r="H604" s="126"/>
      <c r="I604" s="126"/>
      <c r="J604" s="126"/>
      <c r="K604" s="126"/>
      <c r="L604" s="126"/>
      <c r="M604" s="126"/>
    </row>
    <row r="605" spans="2:13">
      <c r="B605" s="126"/>
      <c r="C605" s="126"/>
      <c r="D605" s="126"/>
      <c r="E605" s="126"/>
      <c r="F605" s="126"/>
      <c r="G605" s="126"/>
      <c r="H605" s="126"/>
      <c r="I605" s="126"/>
      <c r="J605" s="126"/>
      <c r="K605" s="126"/>
      <c r="L605" s="126"/>
      <c r="M605" s="126"/>
    </row>
    <row r="606" spans="2:13">
      <c r="B606" s="126"/>
      <c r="C606" s="126"/>
      <c r="D606" s="126"/>
      <c r="E606" s="126"/>
      <c r="F606" s="126"/>
      <c r="G606" s="126"/>
      <c r="H606" s="126"/>
      <c r="I606" s="126"/>
      <c r="J606" s="126"/>
      <c r="K606" s="126"/>
      <c r="L606" s="126"/>
      <c r="M606" s="126"/>
    </row>
    <row r="607" spans="2:13">
      <c r="B607" s="126"/>
      <c r="C607" s="126"/>
      <c r="D607" s="126"/>
      <c r="E607" s="126"/>
      <c r="F607" s="126"/>
      <c r="G607" s="126"/>
      <c r="H607" s="126"/>
      <c r="I607" s="126"/>
      <c r="J607" s="126"/>
      <c r="K607" s="126"/>
      <c r="L607" s="126"/>
      <c r="M607" s="126"/>
    </row>
    <row r="608" spans="2:13">
      <c r="B608" s="126"/>
      <c r="C608" s="126"/>
      <c r="D608" s="126"/>
      <c r="E608" s="126"/>
      <c r="F608" s="126"/>
      <c r="G608" s="126"/>
      <c r="H608" s="126"/>
      <c r="I608" s="126"/>
      <c r="J608" s="126"/>
      <c r="K608" s="126"/>
      <c r="L608" s="126"/>
      <c r="M608" s="126"/>
    </row>
    <row r="609" spans="2:13">
      <c r="B609" s="126"/>
      <c r="C609" s="126"/>
      <c r="D609" s="126"/>
      <c r="E609" s="126"/>
      <c r="F609" s="126"/>
      <c r="G609" s="126"/>
      <c r="H609" s="126"/>
      <c r="I609" s="126"/>
      <c r="J609" s="126"/>
      <c r="K609" s="126"/>
      <c r="L609" s="126"/>
      <c r="M609" s="126"/>
    </row>
    <row r="610" spans="2:13">
      <c r="B610" s="126"/>
      <c r="C610" s="126"/>
      <c r="D610" s="126"/>
      <c r="E610" s="126"/>
      <c r="F610" s="126"/>
      <c r="G610" s="126"/>
      <c r="H610" s="126"/>
      <c r="I610" s="126"/>
      <c r="J610" s="126"/>
      <c r="K610" s="126"/>
      <c r="L610" s="126"/>
      <c r="M610" s="126"/>
    </row>
    <row r="611" spans="2:13">
      <c r="B611" s="126"/>
      <c r="C611" s="126"/>
      <c r="D611" s="126"/>
      <c r="E611" s="126"/>
      <c r="F611" s="126"/>
      <c r="G611" s="126"/>
      <c r="H611" s="126"/>
      <c r="I611" s="126"/>
      <c r="J611" s="126"/>
      <c r="K611" s="126"/>
      <c r="L611" s="126"/>
      <c r="M611" s="126"/>
    </row>
    <row r="612" spans="2:13">
      <c r="B612" s="126"/>
      <c r="C612" s="126"/>
      <c r="D612" s="126"/>
      <c r="E612" s="126"/>
      <c r="F612" s="126"/>
      <c r="G612" s="126"/>
      <c r="H612" s="126"/>
      <c r="I612" s="126"/>
      <c r="J612" s="126"/>
      <c r="K612" s="126"/>
      <c r="L612" s="126"/>
      <c r="M612" s="126"/>
    </row>
    <row r="613" spans="2:13">
      <c r="B613" s="126"/>
      <c r="C613" s="126"/>
      <c r="D613" s="126"/>
      <c r="E613" s="126"/>
      <c r="F613" s="126"/>
      <c r="G613" s="126"/>
      <c r="H613" s="126"/>
      <c r="I613" s="126"/>
      <c r="J613" s="126"/>
      <c r="K613" s="126"/>
      <c r="L613" s="126"/>
      <c r="M613" s="126"/>
    </row>
    <row r="614" spans="2:13">
      <c r="B614" s="126"/>
      <c r="C614" s="126"/>
      <c r="D614" s="126"/>
      <c r="E614" s="126"/>
      <c r="F614" s="126"/>
      <c r="G614" s="126"/>
      <c r="H614" s="126"/>
      <c r="I614" s="126"/>
      <c r="J614" s="126"/>
      <c r="K614" s="126"/>
      <c r="L614" s="126"/>
      <c r="M614" s="126"/>
    </row>
    <row r="615" spans="2:13">
      <c r="B615" s="126"/>
      <c r="C615" s="126"/>
      <c r="D615" s="126"/>
      <c r="E615" s="126"/>
      <c r="F615" s="126"/>
      <c r="G615" s="126"/>
      <c r="H615" s="126"/>
      <c r="I615" s="126"/>
      <c r="J615" s="126"/>
      <c r="K615" s="126"/>
      <c r="L615" s="126"/>
      <c r="M615" s="126"/>
    </row>
    <row r="616" spans="2:13">
      <c r="B616" s="126"/>
      <c r="C616" s="126"/>
      <c r="D616" s="126"/>
      <c r="E616" s="126"/>
      <c r="F616" s="126"/>
      <c r="G616" s="126"/>
      <c r="H616" s="126"/>
      <c r="I616" s="126"/>
      <c r="J616" s="126"/>
      <c r="K616" s="126"/>
      <c r="L616" s="126"/>
      <c r="M616" s="126"/>
    </row>
    <row r="617" spans="2:13">
      <c r="B617" s="126"/>
      <c r="C617" s="126"/>
      <c r="D617" s="126"/>
      <c r="E617" s="126"/>
      <c r="F617" s="126"/>
      <c r="G617" s="126"/>
      <c r="H617" s="126"/>
      <c r="I617" s="126"/>
      <c r="J617" s="126"/>
      <c r="K617" s="126"/>
      <c r="L617" s="126"/>
      <c r="M617" s="126"/>
    </row>
    <row r="618" spans="2:13">
      <c r="B618" s="126"/>
      <c r="C618" s="126"/>
      <c r="D618" s="126"/>
      <c r="E618" s="126"/>
      <c r="F618" s="126"/>
      <c r="G618" s="126"/>
      <c r="H618" s="126"/>
      <c r="I618" s="126"/>
      <c r="J618" s="126"/>
      <c r="K618" s="126"/>
      <c r="L618" s="126"/>
      <c r="M618" s="126"/>
    </row>
    <row r="619" spans="2:13">
      <c r="B619" s="126"/>
      <c r="C619" s="126"/>
      <c r="D619" s="126"/>
      <c r="E619" s="126"/>
      <c r="F619" s="126"/>
      <c r="G619" s="126"/>
      <c r="H619" s="126"/>
      <c r="I619" s="126"/>
      <c r="J619" s="126"/>
      <c r="K619" s="126"/>
      <c r="L619" s="126"/>
      <c r="M619" s="126"/>
    </row>
    <row r="620" spans="2:13">
      <c r="B620" s="126"/>
      <c r="C620" s="126"/>
      <c r="D620" s="126"/>
      <c r="E620" s="126"/>
      <c r="F620" s="126"/>
      <c r="G620" s="126"/>
      <c r="H620" s="126"/>
      <c r="I620" s="126"/>
      <c r="J620" s="126"/>
      <c r="K620" s="126"/>
      <c r="L620" s="126"/>
      <c r="M620" s="126"/>
    </row>
    <row r="621" spans="2:13">
      <c r="B621" s="126"/>
      <c r="C621" s="126"/>
      <c r="D621" s="126"/>
      <c r="E621" s="126"/>
      <c r="F621" s="126"/>
      <c r="G621" s="126"/>
      <c r="H621" s="126"/>
      <c r="I621" s="126"/>
      <c r="J621" s="126"/>
      <c r="K621" s="126"/>
      <c r="L621" s="126"/>
      <c r="M621" s="126"/>
    </row>
    <row r="622" spans="2:13">
      <c r="B622" s="126"/>
      <c r="C622" s="126"/>
      <c r="D622" s="126"/>
      <c r="E622" s="126"/>
      <c r="F622" s="126"/>
      <c r="G622" s="126"/>
      <c r="H622" s="126"/>
      <c r="I622" s="126"/>
      <c r="J622" s="126"/>
      <c r="K622" s="126"/>
      <c r="L622" s="126"/>
      <c r="M622" s="126"/>
    </row>
    <row r="623" spans="2:13">
      <c r="B623" s="126"/>
      <c r="C623" s="126"/>
      <c r="D623" s="126"/>
      <c r="E623" s="126"/>
      <c r="F623" s="126"/>
      <c r="G623" s="126"/>
      <c r="H623" s="126"/>
      <c r="I623" s="126"/>
      <c r="J623" s="126"/>
      <c r="K623" s="126"/>
      <c r="L623" s="126"/>
      <c r="M623" s="126"/>
    </row>
    <row r="624" spans="2:13">
      <c r="B624" s="126"/>
      <c r="C624" s="126"/>
      <c r="D624" s="126"/>
      <c r="E624" s="126"/>
      <c r="F624" s="126"/>
      <c r="G624" s="126"/>
      <c r="H624" s="126"/>
      <c r="I624" s="126"/>
      <c r="J624" s="126"/>
      <c r="K624" s="126"/>
      <c r="L624" s="126"/>
      <c r="M624" s="126"/>
    </row>
    <row r="625" spans="2:13">
      <c r="B625" s="126"/>
      <c r="C625" s="126"/>
      <c r="D625" s="126"/>
      <c r="E625" s="126"/>
      <c r="F625" s="126"/>
      <c r="G625" s="126"/>
      <c r="H625" s="126"/>
      <c r="I625" s="126"/>
      <c r="J625" s="126"/>
      <c r="K625" s="126"/>
      <c r="L625" s="126"/>
      <c r="M625" s="126"/>
    </row>
    <row r="626" spans="2:13">
      <c r="B626" s="126"/>
      <c r="C626" s="126"/>
      <c r="D626" s="126"/>
      <c r="E626" s="126"/>
      <c r="F626" s="126"/>
      <c r="G626" s="126"/>
      <c r="H626" s="126"/>
      <c r="I626" s="126"/>
      <c r="J626" s="126"/>
      <c r="K626" s="126"/>
      <c r="L626" s="126"/>
      <c r="M626" s="126"/>
    </row>
    <row r="627" spans="2:13">
      <c r="B627" s="126"/>
      <c r="C627" s="126"/>
      <c r="D627" s="126"/>
      <c r="E627" s="126"/>
      <c r="F627" s="126"/>
      <c r="G627" s="126"/>
      <c r="H627" s="126"/>
      <c r="I627" s="126"/>
      <c r="J627" s="126"/>
      <c r="K627" s="126"/>
      <c r="L627" s="126"/>
      <c r="M627" s="126"/>
    </row>
    <row r="628" spans="2:13">
      <c r="B628" s="126"/>
      <c r="C628" s="126"/>
      <c r="D628" s="126"/>
      <c r="E628" s="126"/>
      <c r="F628" s="126"/>
      <c r="G628" s="126"/>
      <c r="H628" s="126"/>
      <c r="I628" s="126"/>
      <c r="J628" s="126"/>
      <c r="K628" s="126"/>
      <c r="L628" s="126"/>
      <c r="M628" s="126"/>
    </row>
    <row r="629" spans="2:13">
      <c r="B629" s="126"/>
      <c r="C629" s="126"/>
      <c r="D629" s="126"/>
      <c r="E629" s="126"/>
      <c r="F629" s="126"/>
      <c r="G629" s="126"/>
      <c r="H629" s="126"/>
      <c r="I629" s="126"/>
      <c r="J629" s="126"/>
      <c r="K629" s="126"/>
      <c r="L629" s="126"/>
      <c r="M629" s="126"/>
    </row>
    <row r="630" spans="2:13">
      <c r="B630" s="126"/>
      <c r="C630" s="126"/>
      <c r="D630" s="126"/>
      <c r="E630" s="126"/>
      <c r="F630" s="126"/>
      <c r="G630" s="126"/>
      <c r="H630" s="126"/>
      <c r="I630" s="126"/>
      <c r="J630" s="126"/>
      <c r="K630" s="126"/>
      <c r="L630" s="126"/>
      <c r="M630" s="126"/>
    </row>
    <row r="631" spans="2:13">
      <c r="B631" s="126"/>
      <c r="C631" s="126"/>
      <c r="D631" s="126"/>
      <c r="E631" s="126"/>
      <c r="F631" s="126"/>
      <c r="G631" s="126"/>
      <c r="H631" s="126"/>
      <c r="I631" s="126"/>
      <c r="J631" s="126"/>
      <c r="K631" s="126"/>
      <c r="L631" s="126"/>
      <c r="M631" s="126"/>
    </row>
    <row r="632" spans="2:13">
      <c r="B632" s="126"/>
      <c r="C632" s="126"/>
      <c r="D632" s="126"/>
      <c r="E632" s="126"/>
      <c r="F632" s="126"/>
      <c r="G632" s="126"/>
      <c r="H632" s="126"/>
      <c r="I632" s="126"/>
      <c r="J632" s="126"/>
      <c r="K632" s="126"/>
      <c r="L632" s="126"/>
      <c r="M632" s="126"/>
    </row>
    <row r="633" spans="2:13">
      <c r="B633" s="126"/>
      <c r="C633" s="126"/>
      <c r="D633" s="126"/>
      <c r="E633" s="126"/>
      <c r="F633" s="126"/>
      <c r="G633" s="126"/>
      <c r="H633" s="126"/>
      <c r="I633" s="126"/>
      <c r="J633" s="126"/>
      <c r="K633" s="126"/>
      <c r="L633" s="126"/>
      <c r="M633" s="126"/>
    </row>
    <row r="634" spans="2:13">
      <c r="B634" s="126"/>
      <c r="C634" s="126"/>
      <c r="D634" s="126"/>
      <c r="E634" s="126"/>
      <c r="F634" s="126"/>
      <c r="G634" s="126"/>
      <c r="H634" s="126"/>
      <c r="I634" s="126"/>
      <c r="J634" s="126"/>
      <c r="K634" s="126"/>
      <c r="L634" s="126"/>
      <c r="M634" s="126"/>
    </row>
    <row r="635" spans="2:13">
      <c r="B635" s="126"/>
      <c r="C635" s="126"/>
      <c r="D635" s="126"/>
      <c r="E635" s="126"/>
      <c r="F635" s="126"/>
      <c r="G635" s="126"/>
      <c r="H635" s="126"/>
      <c r="I635" s="126"/>
      <c r="J635" s="126"/>
      <c r="K635" s="126"/>
      <c r="L635" s="126"/>
      <c r="M635" s="126"/>
    </row>
    <row r="636" spans="2:13">
      <c r="B636" s="126"/>
      <c r="C636" s="126"/>
      <c r="D636" s="126"/>
      <c r="E636" s="126"/>
      <c r="F636" s="126"/>
      <c r="G636" s="126"/>
      <c r="H636" s="126"/>
      <c r="I636" s="126"/>
      <c r="J636" s="126"/>
      <c r="K636" s="126"/>
      <c r="L636" s="126"/>
      <c r="M636" s="126"/>
    </row>
    <row r="637" spans="2:13">
      <c r="B637" s="126"/>
      <c r="C637" s="126"/>
      <c r="D637" s="126"/>
      <c r="E637" s="126"/>
      <c r="F637" s="126"/>
      <c r="G637" s="126"/>
      <c r="H637" s="126"/>
      <c r="I637" s="126"/>
      <c r="J637" s="126"/>
      <c r="K637" s="126"/>
      <c r="L637" s="126"/>
      <c r="M637" s="126"/>
    </row>
    <row r="638" spans="2:13">
      <c r="B638" s="126"/>
      <c r="C638" s="126"/>
      <c r="D638" s="126"/>
      <c r="E638" s="126"/>
      <c r="F638" s="126"/>
      <c r="G638" s="126"/>
      <c r="H638" s="126"/>
      <c r="I638" s="126"/>
      <c r="J638" s="126"/>
      <c r="K638" s="126"/>
      <c r="L638" s="126"/>
      <c r="M638" s="126"/>
    </row>
    <row r="639" spans="2:13">
      <c r="B639" s="126"/>
      <c r="C639" s="126"/>
      <c r="D639" s="126"/>
      <c r="E639" s="126"/>
      <c r="F639" s="126"/>
      <c r="G639" s="126"/>
      <c r="H639" s="126"/>
      <c r="I639" s="126"/>
      <c r="J639" s="126"/>
      <c r="K639" s="126"/>
      <c r="L639" s="126"/>
      <c r="M639" s="126"/>
    </row>
    <row r="640" spans="2:13">
      <c r="B640" s="126"/>
      <c r="C640" s="126"/>
      <c r="D640" s="126"/>
      <c r="E640" s="126"/>
      <c r="F640" s="126"/>
      <c r="G640" s="126"/>
      <c r="H640" s="126"/>
      <c r="I640" s="126"/>
      <c r="J640" s="126"/>
      <c r="K640" s="126"/>
      <c r="L640" s="126"/>
      <c r="M640" s="126"/>
    </row>
    <row r="641" spans="2:13">
      <c r="B641" s="126"/>
      <c r="C641" s="126"/>
      <c r="D641" s="126"/>
      <c r="E641" s="126"/>
      <c r="F641" s="126"/>
      <c r="G641" s="126"/>
      <c r="H641" s="126"/>
      <c r="I641" s="126"/>
      <c r="J641" s="126"/>
      <c r="K641" s="126"/>
      <c r="L641" s="126"/>
      <c r="M641" s="126"/>
    </row>
    <row r="642" spans="2:13">
      <c r="B642" s="126"/>
      <c r="C642" s="126"/>
      <c r="D642" s="126"/>
      <c r="E642" s="126"/>
      <c r="F642" s="126"/>
      <c r="G642" s="126"/>
      <c r="H642" s="126"/>
      <c r="I642" s="126"/>
      <c r="J642" s="126"/>
      <c r="K642" s="126"/>
      <c r="L642" s="126"/>
      <c r="M642" s="126"/>
    </row>
    <row r="643" spans="2:13">
      <c r="B643" s="126"/>
      <c r="C643" s="126"/>
      <c r="D643" s="126"/>
      <c r="E643" s="126"/>
      <c r="F643" s="126"/>
      <c r="G643" s="126"/>
      <c r="H643" s="126"/>
      <c r="I643" s="126"/>
      <c r="J643" s="126"/>
      <c r="K643" s="126"/>
      <c r="L643" s="126"/>
      <c r="M643" s="126"/>
    </row>
    <row r="644" spans="2:13">
      <c r="B644" s="126"/>
      <c r="C644" s="126"/>
      <c r="D644" s="126"/>
      <c r="E644" s="126"/>
      <c r="F644" s="126"/>
      <c r="G644" s="126"/>
      <c r="H644" s="126"/>
      <c r="I644" s="126"/>
      <c r="J644" s="126"/>
      <c r="K644" s="126"/>
      <c r="L644" s="126"/>
      <c r="M644" s="126"/>
    </row>
    <row r="645" spans="2:13">
      <c r="B645" s="126"/>
      <c r="C645" s="126"/>
      <c r="D645" s="126"/>
      <c r="E645" s="126"/>
      <c r="F645" s="126"/>
      <c r="G645" s="126"/>
      <c r="H645" s="126"/>
      <c r="I645" s="126"/>
      <c r="J645" s="126"/>
      <c r="K645" s="126"/>
      <c r="L645" s="126"/>
      <c r="M645" s="126"/>
    </row>
    <row r="646" spans="2:13">
      <c r="B646" s="126"/>
      <c r="C646" s="126"/>
      <c r="D646" s="126"/>
      <c r="E646" s="126"/>
      <c r="F646" s="126"/>
      <c r="G646" s="126"/>
      <c r="H646" s="126"/>
      <c r="I646" s="126"/>
      <c r="J646" s="126"/>
      <c r="K646" s="126"/>
      <c r="L646" s="126"/>
      <c r="M646" s="126"/>
    </row>
    <row r="647" spans="2:13">
      <c r="B647" s="126"/>
      <c r="C647" s="126"/>
      <c r="D647" s="126"/>
      <c r="E647" s="126"/>
      <c r="F647" s="126"/>
      <c r="G647" s="126"/>
      <c r="H647" s="126"/>
      <c r="I647" s="126"/>
      <c r="J647" s="126"/>
      <c r="K647" s="126"/>
      <c r="L647" s="126"/>
      <c r="M647" s="126"/>
    </row>
    <row r="648" spans="2:13">
      <c r="B648" s="126"/>
      <c r="C648" s="126"/>
      <c r="D648" s="126"/>
      <c r="E648" s="126"/>
      <c r="F648" s="126"/>
      <c r="G648" s="126"/>
      <c r="H648" s="126"/>
      <c r="I648" s="126"/>
      <c r="J648" s="126"/>
      <c r="K648" s="126"/>
      <c r="L648" s="126"/>
      <c r="M648" s="126"/>
    </row>
    <row r="649" spans="2:13">
      <c r="B649" s="126"/>
      <c r="C649" s="126"/>
      <c r="D649" s="126"/>
      <c r="E649" s="126"/>
      <c r="F649" s="126"/>
      <c r="G649" s="126"/>
      <c r="H649" s="126"/>
      <c r="I649" s="126"/>
      <c r="J649" s="126"/>
      <c r="K649" s="126"/>
      <c r="L649" s="126"/>
      <c r="M649" s="126"/>
    </row>
    <row r="650" spans="2:13">
      <c r="B650" s="126"/>
      <c r="C650" s="126"/>
      <c r="D650" s="126"/>
      <c r="E650" s="126"/>
      <c r="F650" s="126"/>
      <c r="G650" s="126"/>
      <c r="H650" s="126"/>
      <c r="I650" s="126"/>
      <c r="J650" s="126"/>
      <c r="K650" s="126"/>
      <c r="L650" s="126"/>
      <c r="M650" s="126"/>
    </row>
    <row r="651" spans="2:13">
      <c r="B651" s="126"/>
      <c r="C651" s="126"/>
      <c r="D651" s="126"/>
      <c r="E651" s="126"/>
      <c r="F651" s="126"/>
      <c r="G651" s="126"/>
      <c r="H651" s="126"/>
      <c r="I651" s="126"/>
      <c r="J651" s="126"/>
      <c r="K651" s="126"/>
      <c r="L651" s="126"/>
      <c r="M651" s="126"/>
    </row>
    <row r="652" spans="2:13">
      <c r="B652" s="126"/>
      <c r="C652" s="126"/>
      <c r="D652" s="126"/>
      <c r="E652" s="126"/>
      <c r="F652" s="126"/>
      <c r="G652" s="126"/>
      <c r="H652" s="126"/>
      <c r="I652" s="126"/>
      <c r="J652" s="126"/>
      <c r="K652" s="126"/>
      <c r="L652" s="126"/>
      <c r="M652" s="126"/>
    </row>
    <row r="653" spans="2:13">
      <c r="B653" s="126"/>
      <c r="C653" s="126"/>
      <c r="D653" s="126"/>
      <c r="E653" s="126"/>
      <c r="F653" s="126"/>
      <c r="G653" s="126"/>
      <c r="H653" s="126"/>
      <c r="I653" s="126"/>
      <c r="J653" s="126"/>
      <c r="K653" s="126"/>
      <c r="L653" s="126"/>
      <c r="M653" s="126"/>
    </row>
    <row r="654" spans="2:13">
      <c r="B654" s="126"/>
      <c r="C654" s="126"/>
      <c r="D654" s="126"/>
      <c r="E654" s="126"/>
      <c r="F654" s="126"/>
      <c r="G654" s="126"/>
      <c r="H654" s="126"/>
      <c r="I654" s="126"/>
      <c r="J654" s="126"/>
      <c r="K654" s="126"/>
      <c r="L654" s="126"/>
      <c r="M654" s="126"/>
    </row>
    <row r="655" spans="2:13">
      <c r="B655" s="126"/>
      <c r="C655" s="126"/>
      <c r="D655" s="126"/>
      <c r="E655" s="126"/>
      <c r="F655" s="126"/>
      <c r="G655" s="126"/>
      <c r="H655" s="126"/>
      <c r="I655" s="126"/>
      <c r="J655" s="126"/>
      <c r="K655" s="126"/>
      <c r="L655" s="126"/>
      <c r="M655" s="126"/>
    </row>
    <row r="656" spans="2:13">
      <c r="B656" s="126"/>
      <c r="C656" s="126"/>
      <c r="D656" s="126"/>
      <c r="E656" s="126"/>
      <c r="F656" s="126"/>
      <c r="G656" s="126"/>
      <c r="H656" s="126"/>
      <c r="I656" s="126"/>
      <c r="J656" s="126"/>
      <c r="K656" s="126"/>
      <c r="L656" s="126"/>
      <c r="M656" s="126"/>
    </row>
    <row r="657" spans="2:13">
      <c r="B657" s="126"/>
      <c r="C657" s="126"/>
      <c r="D657" s="126"/>
      <c r="E657" s="126"/>
      <c r="F657" s="126"/>
      <c r="G657" s="126"/>
      <c r="H657" s="126"/>
      <c r="I657" s="126"/>
      <c r="J657" s="126"/>
      <c r="K657" s="126"/>
      <c r="L657" s="126"/>
      <c r="M657" s="126"/>
    </row>
    <row r="658" spans="2:13">
      <c r="B658" s="126"/>
      <c r="C658" s="126"/>
      <c r="D658" s="126"/>
      <c r="E658" s="126"/>
      <c r="F658" s="126"/>
      <c r="G658" s="126"/>
      <c r="H658" s="126"/>
      <c r="I658" s="126"/>
      <c r="J658" s="126"/>
      <c r="K658" s="126"/>
      <c r="L658" s="126"/>
      <c r="M658" s="126"/>
    </row>
    <row r="659" spans="2:13">
      <c r="B659" s="126"/>
      <c r="C659" s="126"/>
      <c r="D659" s="126"/>
      <c r="E659" s="126"/>
      <c r="F659" s="126"/>
      <c r="G659" s="126"/>
      <c r="H659" s="126"/>
      <c r="I659" s="126"/>
      <c r="J659" s="126"/>
      <c r="K659" s="126"/>
      <c r="L659" s="126"/>
      <c r="M659" s="126"/>
    </row>
    <row r="660" spans="2:13">
      <c r="B660" s="126"/>
      <c r="C660" s="126"/>
      <c r="D660" s="126"/>
      <c r="E660" s="126"/>
      <c r="F660" s="126"/>
      <c r="G660" s="126"/>
      <c r="H660" s="126"/>
      <c r="I660" s="126"/>
      <c r="J660" s="126"/>
      <c r="K660" s="126"/>
      <c r="L660" s="126"/>
      <c r="M660" s="126"/>
    </row>
    <row r="661" spans="2:13">
      <c r="B661" s="126"/>
      <c r="C661" s="126"/>
      <c r="D661" s="126"/>
      <c r="E661" s="126"/>
      <c r="F661" s="126"/>
      <c r="G661" s="126"/>
      <c r="H661" s="126"/>
      <c r="I661" s="126"/>
      <c r="J661" s="126"/>
      <c r="K661" s="126"/>
      <c r="L661" s="126"/>
      <c r="M661" s="126"/>
    </row>
    <row r="662" spans="2:13">
      <c r="B662" s="126"/>
      <c r="C662" s="126"/>
      <c r="D662" s="126"/>
      <c r="E662" s="126"/>
      <c r="F662" s="126"/>
      <c r="G662" s="126"/>
      <c r="H662" s="126"/>
      <c r="I662" s="126"/>
      <c r="J662" s="126"/>
      <c r="K662" s="126"/>
      <c r="L662" s="126"/>
      <c r="M662" s="126"/>
    </row>
    <row r="663" spans="2:13">
      <c r="B663" s="126"/>
      <c r="C663" s="126"/>
      <c r="D663" s="126"/>
      <c r="E663" s="126"/>
      <c r="F663" s="126"/>
      <c r="G663" s="126"/>
      <c r="H663" s="126"/>
      <c r="I663" s="126"/>
      <c r="J663" s="126"/>
      <c r="K663" s="126"/>
      <c r="L663" s="126"/>
      <c r="M663" s="126"/>
    </row>
    <row r="664" spans="2:13">
      <c r="B664" s="126"/>
      <c r="C664" s="126"/>
      <c r="D664" s="126"/>
      <c r="E664" s="126"/>
      <c r="F664" s="126"/>
      <c r="G664" s="126"/>
      <c r="H664" s="126"/>
      <c r="I664" s="126"/>
      <c r="J664" s="126"/>
      <c r="K664" s="126"/>
      <c r="L664" s="126"/>
      <c r="M664" s="126"/>
    </row>
    <row r="665" spans="2:13">
      <c r="B665" s="126"/>
      <c r="C665" s="126"/>
      <c r="D665" s="126"/>
      <c r="E665" s="126"/>
      <c r="F665" s="126"/>
      <c r="G665" s="126"/>
      <c r="H665" s="126"/>
      <c r="I665" s="126"/>
      <c r="J665" s="126"/>
      <c r="K665" s="126"/>
      <c r="L665" s="126"/>
      <c r="M665" s="126"/>
    </row>
    <row r="666" spans="2:13">
      <c r="B666" s="126"/>
      <c r="C666" s="126"/>
      <c r="D666" s="126"/>
      <c r="E666" s="126"/>
      <c r="F666" s="126"/>
      <c r="G666" s="126"/>
      <c r="H666" s="126"/>
      <c r="I666" s="126"/>
      <c r="J666" s="126"/>
      <c r="K666" s="126"/>
      <c r="L666" s="126"/>
      <c r="M666" s="126"/>
    </row>
    <row r="667" spans="2:13">
      <c r="B667" s="126"/>
      <c r="C667" s="126"/>
      <c r="D667" s="126"/>
      <c r="E667" s="126"/>
      <c r="F667" s="126"/>
      <c r="G667" s="126"/>
      <c r="H667" s="126"/>
      <c r="I667" s="126"/>
      <c r="J667" s="126"/>
      <c r="K667" s="126"/>
      <c r="L667" s="126"/>
      <c r="M667" s="126"/>
    </row>
    <row r="668" spans="2:13">
      <c r="B668" s="126"/>
      <c r="C668" s="126"/>
      <c r="D668" s="126"/>
      <c r="E668" s="126"/>
      <c r="F668" s="126"/>
      <c r="G668" s="126"/>
      <c r="H668" s="126"/>
      <c r="I668" s="126"/>
      <c r="J668" s="126"/>
      <c r="K668" s="126"/>
      <c r="L668" s="126"/>
      <c r="M668" s="126"/>
    </row>
    <row r="669" spans="2:13">
      <c r="B669" s="126"/>
      <c r="C669" s="126"/>
      <c r="D669" s="126"/>
      <c r="E669" s="126"/>
      <c r="F669" s="126"/>
      <c r="G669" s="126"/>
      <c r="H669" s="126"/>
      <c r="I669" s="126"/>
      <c r="J669" s="126"/>
      <c r="K669" s="126"/>
      <c r="L669" s="126"/>
      <c r="M669" s="126"/>
    </row>
    <row r="670" spans="2:13">
      <c r="B670" s="126"/>
      <c r="C670" s="126"/>
      <c r="D670" s="126"/>
      <c r="E670" s="126"/>
      <c r="F670" s="126"/>
      <c r="G670" s="126"/>
      <c r="H670" s="126"/>
      <c r="I670" s="126"/>
      <c r="J670" s="126"/>
      <c r="K670" s="126"/>
      <c r="L670" s="126"/>
      <c r="M670" s="126"/>
    </row>
    <row r="671" spans="2:13">
      <c r="B671" s="126"/>
      <c r="C671" s="126"/>
      <c r="D671" s="126"/>
      <c r="E671" s="126"/>
      <c r="F671" s="126"/>
      <c r="G671" s="126"/>
      <c r="H671" s="126"/>
      <c r="I671" s="126"/>
      <c r="J671" s="126"/>
      <c r="K671" s="126"/>
      <c r="L671" s="126"/>
      <c r="M671" s="126"/>
    </row>
    <row r="672" spans="2:13">
      <c r="B672" s="126"/>
      <c r="C672" s="126"/>
      <c r="D672" s="126"/>
      <c r="E672" s="126"/>
      <c r="F672" s="126"/>
      <c r="G672" s="126"/>
      <c r="H672" s="126"/>
      <c r="I672" s="126"/>
      <c r="J672" s="126"/>
      <c r="K672" s="126"/>
      <c r="L672" s="126"/>
      <c r="M672" s="126"/>
    </row>
    <row r="673" spans="2:13">
      <c r="B673" s="126"/>
      <c r="C673" s="126"/>
      <c r="D673" s="126"/>
      <c r="E673" s="126"/>
      <c r="F673" s="126"/>
      <c r="G673" s="126"/>
      <c r="H673" s="126"/>
      <c r="I673" s="126"/>
      <c r="J673" s="126"/>
      <c r="K673" s="126"/>
      <c r="L673" s="126"/>
      <c r="M673" s="126"/>
    </row>
    <row r="674" spans="2:13">
      <c r="B674" s="126"/>
      <c r="C674" s="126"/>
      <c r="D674" s="126"/>
      <c r="E674" s="126"/>
      <c r="F674" s="126"/>
      <c r="G674" s="126"/>
      <c r="H674" s="126"/>
      <c r="I674" s="126"/>
      <c r="J674" s="126"/>
      <c r="K674" s="126"/>
      <c r="L674" s="126"/>
      <c r="M674" s="126"/>
    </row>
    <row r="675" spans="2:13">
      <c r="B675" s="126"/>
      <c r="C675" s="126"/>
      <c r="D675" s="126"/>
      <c r="E675" s="126"/>
      <c r="F675" s="126"/>
      <c r="G675" s="126"/>
      <c r="H675" s="126"/>
      <c r="I675" s="126"/>
      <c r="J675" s="126"/>
      <c r="K675" s="126"/>
      <c r="L675" s="126"/>
      <c r="M675" s="126"/>
    </row>
    <row r="676" spans="2:13">
      <c r="B676" s="126"/>
      <c r="C676" s="126"/>
      <c r="D676" s="126"/>
      <c r="E676" s="126"/>
      <c r="F676" s="126"/>
      <c r="G676" s="126"/>
      <c r="H676" s="126"/>
      <c r="I676" s="126"/>
      <c r="J676" s="126"/>
      <c r="K676" s="126"/>
      <c r="L676" s="126"/>
      <c r="M676" s="126"/>
    </row>
    <row r="677" spans="2:13">
      <c r="B677" s="126"/>
      <c r="C677" s="126"/>
      <c r="D677" s="126"/>
      <c r="E677" s="126"/>
      <c r="F677" s="126"/>
      <c r="G677" s="126"/>
      <c r="H677" s="126"/>
      <c r="I677" s="126"/>
      <c r="J677" s="126"/>
      <c r="K677" s="126"/>
      <c r="L677" s="126"/>
      <c r="M677" s="126"/>
    </row>
    <row r="678" spans="2:13">
      <c r="B678" s="126"/>
      <c r="C678" s="126"/>
      <c r="D678" s="126"/>
      <c r="E678" s="126"/>
      <c r="F678" s="126"/>
      <c r="G678" s="126"/>
      <c r="H678" s="126"/>
      <c r="I678" s="126"/>
      <c r="J678" s="126"/>
      <c r="K678" s="126"/>
      <c r="L678" s="126"/>
      <c r="M678" s="126"/>
    </row>
    <row r="679" spans="2:13">
      <c r="B679" s="126"/>
      <c r="C679" s="126"/>
      <c r="D679" s="126"/>
      <c r="E679" s="126"/>
      <c r="F679" s="126"/>
      <c r="G679" s="126"/>
      <c r="H679" s="126"/>
      <c r="I679" s="126"/>
      <c r="J679" s="126"/>
      <c r="K679" s="126"/>
      <c r="L679" s="126"/>
      <c r="M679" s="126"/>
    </row>
    <row r="680" spans="2:13">
      <c r="B680" s="126"/>
      <c r="C680" s="126"/>
      <c r="D680" s="126"/>
      <c r="E680" s="126"/>
      <c r="F680" s="126"/>
      <c r="G680" s="126"/>
      <c r="H680" s="126"/>
      <c r="I680" s="126"/>
      <c r="J680" s="126"/>
      <c r="K680" s="126"/>
      <c r="L680" s="126"/>
      <c r="M680" s="126"/>
    </row>
    <row r="681" spans="2:13">
      <c r="B681" s="126"/>
      <c r="C681" s="126"/>
      <c r="D681" s="126"/>
      <c r="E681" s="126"/>
      <c r="F681" s="126"/>
      <c r="G681" s="126"/>
      <c r="H681" s="126"/>
      <c r="I681" s="126"/>
      <c r="J681" s="126"/>
      <c r="K681" s="126"/>
      <c r="L681" s="126"/>
      <c r="M681" s="126"/>
    </row>
    <row r="682" spans="2:13">
      <c r="B682" s="126"/>
      <c r="C682" s="126"/>
      <c r="D682" s="126"/>
      <c r="E682" s="126"/>
      <c r="F682" s="126"/>
      <c r="G682" s="126"/>
      <c r="H682" s="126"/>
      <c r="I682" s="126"/>
      <c r="J682" s="126"/>
      <c r="K682" s="126"/>
      <c r="L682" s="126"/>
      <c r="M682" s="126"/>
    </row>
    <row r="683" spans="2:13">
      <c r="B683" s="126"/>
      <c r="C683" s="126"/>
      <c r="D683" s="126"/>
      <c r="E683" s="126"/>
      <c r="F683" s="126"/>
      <c r="G683" s="126"/>
      <c r="H683" s="126"/>
      <c r="I683" s="126"/>
      <c r="J683" s="126"/>
      <c r="K683" s="126"/>
      <c r="L683" s="126"/>
      <c r="M683" s="126"/>
    </row>
    <row r="684" spans="2:13">
      <c r="B684" s="126"/>
      <c r="C684" s="126"/>
      <c r="D684" s="126"/>
      <c r="E684" s="126"/>
      <c r="F684" s="126"/>
      <c r="G684" s="126"/>
      <c r="H684" s="126"/>
      <c r="I684" s="126"/>
      <c r="J684" s="126"/>
      <c r="K684" s="126"/>
      <c r="L684" s="126"/>
      <c r="M684" s="126"/>
    </row>
    <row r="685" spans="2:13">
      <c r="B685" s="126"/>
      <c r="C685" s="126"/>
      <c r="D685" s="126"/>
      <c r="E685" s="126"/>
      <c r="F685" s="126"/>
      <c r="G685" s="126"/>
      <c r="H685" s="126"/>
      <c r="I685" s="126"/>
      <c r="J685" s="126"/>
      <c r="K685" s="126"/>
      <c r="L685" s="126"/>
      <c r="M685" s="126"/>
    </row>
    <row r="686" spans="2:13">
      <c r="B686" s="126"/>
      <c r="C686" s="126"/>
      <c r="D686" s="126"/>
      <c r="E686" s="126"/>
      <c r="F686" s="126"/>
      <c r="G686" s="126"/>
      <c r="H686" s="126"/>
      <c r="I686" s="126"/>
      <c r="J686" s="126"/>
      <c r="K686" s="126"/>
      <c r="L686" s="126"/>
      <c r="M686" s="126"/>
    </row>
    <row r="687" spans="2:13">
      <c r="B687" s="126"/>
      <c r="C687" s="126"/>
      <c r="D687" s="126"/>
      <c r="E687" s="126"/>
      <c r="F687" s="126"/>
      <c r="G687" s="126"/>
      <c r="H687" s="126"/>
      <c r="I687" s="126"/>
      <c r="J687" s="126"/>
      <c r="K687" s="126"/>
      <c r="L687" s="126"/>
      <c r="M687" s="126"/>
    </row>
    <row r="688" spans="2:13">
      <c r="B688" s="126"/>
      <c r="C688" s="126"/>
      <c r="D688" s="126"/>
      <c r="E688" s="126"/>
      <c r="F688" s="126"/>
      <c r="G688" s="126"/>
      <c r="H688" s="126"/>
      <c r="I688" s="126"/>
      <c r="J688" s="126"/>
      <c r="K688" s="126"/>
      <c r="L688" s="126"/>
      <c r="M688" s="126"/>
    </row>
    <row r="689" spans="2:13">
      <c r="B689" s="126"/>
      <c r="C689" s="126"/>
      <c r="D689" s="126"/>
      <c r="E689" s="126"/>
      <c r="F689" s="126"/>
      <c r="G689" s="126"/>
      <c r="H689" s="126"/>
      <c r="I689" s="126"/>
      <c r="J689" s="126"/>
      <c r="K689" s="126"/>
      <c r="L689" s="126"/>
      <c r="M689" s="126"/>
    </row>
    <row r="690" spans="2:13">
      <c r="B690" s="126"/>
      <c r="C690" s="126"/>
      <c r="D690" s="126"/>
      <c r="E690" s="126"/>
      <c r="F690" s="126"/>
      <c r="G690" s="126"/>
      <c r="H690" s="126"/>
      <c r="I690" s="126"/>
      <c r="J690" s="126"/>
      <c r="K690" s="126"/>
      <c r="L690" s="126"/>
      <c r="M690" s="126"/>
    </row>
    <row r="691" spans="2:13">
      <c r="B691" s="126"/>
      <c r="C691" s="126"/>
      <c r="D691" s="126"/>
      <c r="E691" s="126"/>
      <c r="F691" s="126"/>
      <c r="G691" s="126"/>
      <c r="H691" s="126"/>
      <c r="I691" s="126"/>
      <c r="J691" s="126"/>
      <c r="K691" s="126"/>
      <c r="L691" s="126"/>
      <c r="M691" s="126"/>
    </row>
    <row r="692" spans="2:13">
      <c r="B692" s="126"/>
      <c r="C692" s="126"/>
      <c r="D692" s="126"/>
      <c r="E692" s="126"/>
      <c r="F692" s="126"/>
      <c r="G692" s="126"/>
      <c r="H692" s="126"/>
      <c r="I692" s="126"/>
      <c r="J692" s="126"/>
      <c r="K692" s="126"/>
      <c r="L692" s="126"/>
      <c r="M692" s="126"/>
    </row>
    <row r="693" spans="2:13">
      <c r="B693" s="126"/>
      <c r="C693" s="126"/>
      <c r="D693" s="126"/>
      <c r="E693" s="126"/>
      <c r="F693" s="126"/>
      <c r="G693" s="126"/>
      <c r="H693" s="126"/>
      <c r="I693" s="126"/>
      <c r="J693" s="126"/>
      <c r="K693" s="126"/>
      <c r="L693" s="126"/>
      <c r="M693" s="126"/>
    </row>
    <row r="694" spans="2:13">
      <c r="B694" s="126"/>
      <c r="C694" s="126"/>
      <c r="D694" s="126"/>
      <c r="E694" s="126"/>
      <c r="F694" s="126"/>
      <c r="G694" s="126"/>
      <c r="H694" s="126"/>
      <c r="I694" s="126"/>
      <c r="J694" s="126"/>
      <c r="K694" s="126"/>
      <c r="L694" s="126"/>
      <c r="M694" s="126"/>
    </row>
    <row r="695" spans="2:13">
      <c r="B695" s="126"/>
      <c r="C695" s="126"/>
      <c r="D695" s="126"/>
      <c r="E695" s="126"/>
      <c r="F695" s="126"/>
      <c r="G695" s="126"/>
      <c r="H695" s="126"/>
      <c r="I695" s="126"/>
      <c r="J695" s="126"/>
      <c r="K695" s="126"/>
      <c r="L695" s="126"/>
      <c r="M695" s="126"/>
    </row>
    <row r="696" spans="2:13">
      <c r="B696" s="126"/>
      <c r="C696" s="126"/>
      <c r="D696" s="126"/>
      <c r="E696" s="126"/>
      <c r="F696" s="126"/>
      <c r="G696" s="126"/>
      <c r="H696" s="126"/>
      <c r="I696" s="126"/>
      <c r="J696" s="126"/>
      <c r="K696" s="126"/>
      <c r="L696" s="126"/>
      <c r="M696" s="126"/>
    </row>
    <row r="697" spans="2:13">
      <c r="B697" s="126"/>
      <c r="C697" s="126"/>
      <c r="D697" s="126"/>
      <c r="E697" s="126"/>
      <c r="F697" s="126"/>
      <c r="G697" s="126"/>
      <c r="H697" s="126"/>
      <c r="I697" s="126"/>
      <c r="J697" s="126"/>
      <c r="K697" s="126"/>
      <c r="L697" s="126"/>
      <c r="M697" s="126"/>
    </row>
    <row r="698" spans="2:13">
      <c r="B698" s="126"/>
      <c r="C698" s="126"/>
      <c r="D698" s="126"/>
      <c r="E698" s="126"/>
      <c r="F698" s="126"/>
      <c r="G698" s="126"/>
      <c r="H698" s="126"/>
      <c r="I698" s="126"/>
      <c r="J698" s="126"/>
      <c r="K698" s="126"/>
      <c r="L698" s="126"/>
      <c r="M698" s="126"/>
    </row>
    <row r="699" spans="2:13">
      <c r="B699" s="126"/>
      <c r="C699" s="126"/>
      <c r="D699" s="126"/>
      <c r="E699" s="126"/>
      <c r="F699" s="126"/>
      <c r="G699" s="126"/>
      <c r="H699" s="126"/>
      <c r="I699" s="126"/>
      <c r="J699" s="126"/>
      <c r="K699" s="126"/>
      <c r="L699" s="126"/>
      <c r="M699" s="126"/>
    </row>
    <row r="700" spans="2:13">
      <c r="B700" s="126"/>
      <c r="C700" s="126"/>
      <c r="D700" s="126"/>
      <c r="E700" s="126"/>
      <c r="F700" s="126"/>
      <c r="G700" s="126"/>
      <c r="H700" s="126"/>
      <c r="I700" s="126"/>
      <c r="J700" s="126"/>
      <c r="K700" s="126"/>
      <c r="L700" s="126"/>
      <c r="M700" s="126"/>
    </row>
    <row r="701" spans="2:13">
      <c r="B701" s="126"/>
      <c r="C701" s="126"/>
      <c r="D701" s="126"/>
      <c r="E701" s="126"/>
      <c r="F701" s="126"/>
      <c r="G701" s="126"/>
      <c r="H701" s="126"/>
      <c r="I701" s="126"/>
      <c r="J701" s="126"/>
      <c r="K701" s="126"/>
      <c r="L701" s="126"/>
      <c r="M701" s="126"/>
    </row>
    <row r="702" spans="2:13">
      <c r="B702" s="126"/>
      <c r="C702" s="126"/>
      <c r="D702" s="126"/>
      <c r="E702" s="126"/>
      <c r="F702" s="126"/>
      <c r="G702" s="126"/>
      <c r="H702" s="126"/>
      <c r="I702" s="126"/>
      <c r="J702" s="126"/>
      <c r="K702" s="126"/>
      <c r="L702" s="126"/>
      <c r="M702" s="126"/>
    </row>
    <row r="703" spans="2:13">
      <c r="B703" s="126"/>
      <c r="C703" s="126"/>
      <c r="D703" s="126"/>
      <c r="E703" s="126"/>
      <c r="F703" s="126"/>
      <c r="G703" s="126"/>
      <c r="H703" s="126"/>
      <c r="I703" s="126"/>
      <c r="J703" s="126"/>
      <c r="K703" s="126"/>
      <c r="L703" s="126"/>
      <c r="M703" s="126"/>
    </row>
    <row r="704" spans="2:13">
      <c r="B704" s="126"/>
      <c r="C704" s="126"/>
      <c r="D704" s="126"/>
      <c r="E704" s="126"/>
      <c r="F704" s="126"/>
      <c r="G704" s="126"/>
      <c r="H704" s="126"/>
      <c r="I704" s="126"/>
      <c r="J704" s="126"/>
      <c r="K704" s="126"/>
      <c r="L704" s="126"/>
      <c r="M704" s="126"/>
    </row>
    <row r="705" spans="2:13">
      <c r="B705" s="126"/>
      <c r="C705" s="126"/>
      <c r="D705" s="126"/>
      <c r="E705" s="126"/>
      <c r="F705" s="126"/>
      <c r="G705" s="126"/>
      <c r="H705" s="126"/>
      <c r="I705" s="126"/>
      <c r="J705" s="126"/>
      <c r="K705" s="126"/>
      <c r="L705" s="126"/>
      <c r="M705" s="126"/>
    </row>
    <row r="706" spans="2:13">
      <c r="B706" s="126"/>
      <c r="C706" s="126"/>
      <c r="D706" s="126"/>
      <c r="E706" s="126"/>
      <c r="F706" s="126"/>
      <c r="G706" s="126"/>
      <c r="H706" s="126"/>
      <c r="I706" s="126"/>
      <c r="J706" s="126"/>
      <c r="K706" s="126"/>
      <c r="L706" s="126"/>
      <c r="M706" s="126"/>
    </row>
    <row r="707" spans="2:13">
      <c r="B707" s="126"/>
      <c r="C707" s="126"/>
      <c r="D707" s="126"/>
      <c r="E707" s="126"/>
      <c r="F707" s="126"/>
      <c r="G707" s="126"/>
      <c r="H707" s="126"/>
      <c r="I707" s="126"/>
      <c r="J707" s="126"/>
      <c r="K707" s="126"/>
      <c r="L707" s="126"/>
      <c r="M707" s="126"/>
    </row>
    <row r="708" spans="2:13">
      <c r="B708" s="126"/>
      <c r="C708" s="126"/>
      <c r="D708" s="126"/>
      <c r="E708" s="126"/>
      <c r="F708" s="126"/>
      <c r="G708" s="126"/>
      <c r="H708" s="126"/>
      <c r="I708" s="126"/>
      <c r="J708" s="126"/>
      <c r="K708" s="126"/>
      <c r="L708" s="126"/>
      <c r="M708" s="126"/>
    </row>
    <row r="709" spans="2:13">
      <c r="B709" s="126"/>
      <c r="C709" s="126"/>
      <c r="D709" s="126"/>
      <c r="E709" s="126"/>
      <c r="F709" s="126"/>
      <c r="G709" s="126"/>
      <c r="H709" s="126"/>
      <c r="I709" s="126"/>
      <c r="J709" s="126"/>
      <c r="K709" s="126"/>
      <c r="L709" s="126"/>
      <c r="M709" s="126"/>
    </row>
    <row r="710" spans="2:13">
      <c r="B710" s="126"/>
      <c r="C710" s="126"/>
      <c r="D710" s="126"/>
      <c r="E710" s="126"/>
      <c r="F710" s="126"/>
      <c r="G710" s="126"/>
      <c r="H710" s="126"/>
      <c r="I710" s="126"/>
      <c r="J710" s="126"/>
      <c r="K710" s="126"/>
      <c r="L710" s="126"/>
      <c r="M710" s="126"/>
    </row>
    <row r="711" spans="2:13">
      <c r="B711" s="126"/>
      <c r="C711" s="126"/>
      <c r="D711" s="126"/>
      <c r="E711" s="126"/>
      <c r="F711" s="126"/>
      <c r="G711" s="126"/>
      <c r="H711" s="126"/>
      <c r="I711" s="126"/>
      <c r="J711" s="126"/>
      <c r="K711" s="126"/>
      <c r="L711" s="126"/>
      <c r="M711" s="126"/>
    </row>
    <row r="712" spans="2:13">
      <c r="B712" s="126"/>
      <c r="C712" s="126"/>
      <c r="D712" s="126"/>
      <c r="E712" s="126"/>
      <c r="F712" s="126"/>
      <c r="G712" s="126"/>
      <c r="H712" s="126"/>
      <c r="I712" s="126"/>
      <c r="J712" s="126"/>
      <c r="K712" s="126"/>
      <c r="L712" s="126"/>
      <c r="M712" s="126"/>
    </row>
    <row r="713" spans="2:13">
      <c r="B713" s="126"/>
      <c r="C713" s="126"/>
      <c r="D713" s="126"/>
      <c r="E713" s="126"/>
      <c r="F713" s="126"/>
      <c r="G713" s="126"/>
      <c r="H713" s="126"/>
      <c r="I713" s="126"/>
      <c r="J713" s="126"/>
      <c r="K713" s="126"/>
      <c r="L713" s="126"/>
      <c r="M713" s="126"/>
    </row>
    <row r="714" spans="2:13">
      <c r="B714" s="126"/>
      <c r="C714" s="126"/>
      <c r="D714" s="126"/>
      <c r="E714" s="126"/>
      <c r="F714" s="126"/>
      <c r="G714" s="126"/>
      <c r="H714" s="126"/>
      <c r="I714" s="126"/>
      <c r="J714" s="126"/>
      <c r="K714" s="126"/>
      <c r="L714" s="126"/>
      <c r="M714" s="126"/>
    </row>
    <row r="715" spans="2:13">
      <c r="B715" s="126"/>
      <c r="C715" s="126"/>
      <c r="D715" s="126"/>
      <c r="E715" s="126"/>
      <c r="F715" s="126"/>
      <c r="G715" s="126"/>
      <c r="H715" s="126"/>
      <c r="I715" s="126"/>
      <c r="J715" s="126"/>
      <c r="K715" s="126"/>
      <c r="L715" s="126"/>
      <c r="M715" s="126"/>
    </row>
    <row r="716" spans="2:13">
      <c r="B716" s="126"/>
      <c r="C716" s="126"/>
      <c r="D716" s="126"/>
      <c r="E716" s="126"/>
      <c r="F716" s="126"/>
      <c r="G716" s="126"/>
      <c r="H716" s="126"/>
      <c r="I716" s="126"/>
      <c r="J716" s="126"/>
      <c r="K716" s="126"/>
      <c r="L716" s="126"/>
      <c r="M716" s="126"/>
    </row>
    <row r="717" spans="2:13">
      <c r="B717" s="126"/>
      <c r="C717" s="126"/>
      <c r="D717" s="126"/>
      <c r="E717" s="126"/>
      <c r="F717" s="126"/>
      <c r="G717" s="126"/>
      <c r="H717" s="126"/>
      <c r="I717" s="126"/>
      <c r="J717" s="126"/>
      <c r="K717" s="126"/>
      <c r="L717" s="126"/>
      <c r="M717" s="126"/>
    </row>
    <row r="718" spans="2:13">
      <c r="B718" s="126"/>
      <c r="C718" s="126"/>
      <c r="D718" s="126"/>
      <c r="E718" s="126"/>
      <c r="F718" s="126"/>
      <c r="G718" s="126"/>
      <c r="H718" s="126"/>
      <c r="I718" s="126"/>
      <c r="J718" s="126"/>
      <c r="K718" s="126"/>
      <c r="L718" s="126"/>
      <c r="M718" s="126"/>
    </row>
    <row r="719" spans="2:13">
      <c r="B719" s="126"/>
      <c r="C719" s="126"/>
      <c r="D719" s="126"/>
      <c r="E719" s="126"/>
      <c r="F719" s="126"/>
      <c r="G719" s="126"/>
      <c r="H719" s="126"/>
      <c r="I719" s="126"/>
      <c r="J719" s="126"/>
      <c r="K719" s="126"/>
      <c r="L719" s="126"/>
      <c r="M719" s="126"/>
    </row>
    <row r="720" spans="2:13">
      <c r="B720" s="126"/>
      <c r="C720" s="126"/>
      <c r="D720" s="126"/>
      <c r="E720" s="126"/>
      <c r="F720" s="126"/>
      <c r="G720" s="126"/>
      <c r="H720" s="126"/>
      <c r="I720" s="126"/>
      <c r="J720" s="126"/>
      <c r="K720" s="126"/>
      <c r="L720" s="126"/>
      <c r="M720" s="126"/>
    </row>
    <row r="721" spans="2:13">
      <c r="B721" s="126"/>
      <c r="C721" s="126"/>
      <c r="D721" s="126"/>
      <c r="E721" s="126"/>
      <c r="F721" s="126"/>
      <c r="G721" s="126"/>
      <c r="H721" s="126"/>
      <c r="I721" s="126"/>
      <c r="J721" s="126"/>
      <c r="K721" s="126"/>
      <c r="L721" s="126"/>
      <c r="M721" s="126"/>
    </row>
    <row r="722" spans="2:13">
      <c r="B722" s="126"/>
      <c r="C722" s="126"/>
      <c r="D722" s="126"/>
      <c r="E722" s="126"/>
      <c r="F722" s="126"/>
      <c r="G722" s="126"/>
      <c r="H722" s="126"/>
      <c r="I722" s="126"/>
      <c r="J722" s="126"/>
      <c r="K722" s="126"/>
      <c r="L722" s="126"/>
      <c r="M722" s="126"/>
    </row>
    <row r="723" spans="2:13">
      <c r="B723" s="126"/>
      <c r="C723" s="126"/>
      <c r="D723" s="126"/>
      <c r="E723" s="126"/>
      <c r="F723" s="126"/>
      <c r="G723" s="126"/>
      <c r="H723" s="126"/>
      <c r="I723" s="126"/>
      <c r="J723" s="126"/>
      <c r="K723" s="126"/>
      <c r="L723" s="126"/>
      <c r="M723" s="126"/>
    </row>
    <row r="724" spans="2:13">
      <c r="B724" s="126"/>
      <c r="C724" s="126"/>
      <c r="D724" s="126"/>
      <c r="E724" s="126"/>
      <c r="F724" s="126"/>
      <c r="G724" s="126"/>
      <c r="H724" s="126"/>
      <c r="I724" s="126"/>
      <c r="J724" s="126"/>
      <c r="K724" s="126"/>
      <c r="L724" s="126"/>
      <c r="M724" s="126"/>
    </row>
    <row r="725" spans="2:13">
      <c r="B725" s="126"/>
      <c r="C725" s="126"/>
      <c r="D725" s="126"/>
      <c r="E725" s="126"/>
      <c r="F725" s="126"/>
      <c r="G725" s="126"/>
      <c r="H725" s="126"/>
      <c r="I725" s="126"/>
      <c r="J725" s="126"/>
      <c r="K725" s="126"/>
      <c r="L725" s="126"/>
      <c r="M725" s="126"/>
    </row>
    <row r="726" spans="2:13">
      <c r="B726" s="126"/>
      <c r="C726" s="126"/>
      <c r="D726" s="126"/>
      <c r="E726" s="126"/>
      <c r="F726" s="126"/>
      <c r="G726" s="126"/>
      <c r="H726" s="126"/>
      <c r="I726" s="126"/>
      <c r="J726" s="126"/>
      <c r="K726" s="126"/>
      <c r="L726" s="126"/>
      <c r="M726" s="126"/>
    </row>
    <row r="727" spans="2:13">
      <c r="B727" s="126"/>
      <c r="C727" s="126"/>
      <c r="D727" s="126"/>
      <c r="E727" s="126"/>
      <c r="F727" s="126"/>
      <c r="G727" s="126"/>
      <c r="H727" s="126"/>
      <c r="I727" s="126"/>
      <c r="J727" s="126"/>
      <c r="K727" s="126"/>
      <c r="L727" s="126"/>
      <c r="M727" s="126"/>
    </row>
    <row r="728" spans="2:13">
      <c r="B728" s="126"/>
      <c r="C728" s="126"/>
      <c r="D728" s="126"/>
      <c r="E728" s="126"/>
      <c r="F728" s="126"/>
      <c r="G728" s="126"/>
      <c r="H728" s="126"/>
      <c r="I728" s="126"/>
      <c r="J728" s="126"/>
      <c r="K728" s="126"/>
      <c r="L728" s="126"/>
      <c r="M728" s="126"/>
    </row>
    <row r="729" spans="2:13">
      <c r="B729" s="126"/>
      <c r="C729" s="126"/>
      <c r="D729" s="126"/>
      <c r="E729" s="126"/>
      <c r="F729" s="126"/>
      <c r="G729" s="126"/>
      <c r="H729" s="126"/>
      <c r="I729" s="126"/>
      <c r="J729" s="126"/>
      <c r="K729" s="126"/>
      <c r="L729" s="126"/>
      <c r="M729" s="126"/>
    </row>
    <row r="730" spans="2:13">
      <c r="B730" s="126"/>
      <c r="C730" s="126"/>
      <c r="D730" s="126"/>
      <c r="E730" s="126"/>
      <c r="F730" s="126"/>
      <c r="G730" s="126"/>
      <c r="H730" s="126"/>
      <c r="I730" s="126"/>
      <c r="J730" s="126"/>
      <c r="K730" s="126"/>
      <c r="L730" s="126"/>
      <c r="M730" s="126"/>
    </row>
    <row r="731" spans="2:13">
      <c r="B731" s="126"/>
      <c r="C731" s="126"/>
      <c r="D731" s="126"/>
      <c r="E731" s="126"/>
      <c r="F731" s="126"/>
      <c r="G731" s="126"/>
      <c r="H731" s="126"/>
      <c r="I731" s="126"/>
      <c r="J731" s="126"/>
      <c r="K731" s="126"/>
      <c r="L731" s="126"/>
      <c r="M731" s="126"/>
    </row>
    <row r="732" spans="2:13">
      <c r="B732" s="126"/>
      <c r="C732" s="126"/>
      <c r="D732" s="126"/>
      <c r="E732" s="126"/>
      <c r="F732" s="126"/>
      <c r="G732" s="126"/>
      <c r="H732" s="126"/>
      <c r="I732" s="126"/>
      <c r="J732" s="126"/>
      <c r="K732" s="126"/>
      <c r="L732" s="126"/>
      <c r="M732" s="126"/>
    </row>
    <row r="733" spans="2:13">
      <c r="B733" s="126"/>
      <c r="C733" s="126"/>
      <c r="D733" s="126"/>
      <c r="E733" s="126"/>
      <c r="F733" s="126"/>
      <c r="G733" s="126"/>
      <c r="H733" s="126"/>
      <c r="I733" s="126"/>
      <c r="J733" s="126"/>
      <c r="K733" s="126"/>
      <c r="L733" s="126"/>
      <c r="M733" s="126"/>
    </row>
    <row r="734" spans="2:13">
      <c r="B734" s="126"/>
      <c r="C734" s="126"/>
      <c r="D734" s="126"/>
      <c r="E734" s="126"/>
      <c r="F734" s="126"/>
      <c r="G734" s="126"/>
      <c r="H734" s="126"/>
      <c r="I734" s="126"/>
      <c r="J734" s="126"/>
      <c r="K734" s="126"/>
      <c r="L734" s="126"/>
      <c r="M734" s="126"/>
    </row>
    <row r="735" spans="2:13">
      <c r="B735" s="126"/>
      <c r="C735" s="126"/>
      <c r="D735" s="126"/>
      <c r="E735" s="126"/>
      <c r="F735" s="126"/>
      <c r="G735" s="126"/>
      <c r="H735" s="126"/>
      <c r="I735" s="126"/>
      <c r="J735" s="126"/>
      <c r="K735" s="126"/>
      <c r="L735" s="126"/>
      <c r="M735" s="126"/>
    </row>
    <row r="736" spans="2:13">
      <c r="B736" s="126"/>
      <c r="C736" s="126"/>
      <c r="D736" s="126"/>
      <c r="E736" s="126"/>
      <c r="F736" s="126"/>
      <c r="G736" s="126"/>
      <c r="H736" s="126"/>
      <c r="I736" s="126"/>
      <c r="J736" s="126"/>
      <c r="K736" s="126"/>
      <c r="L736" s="126"/>
      <c r="M736" s="126"/>
    </row>
    <row r="737" spans="2:13">
      <c r="B737" s="126"/>
      <c r="C737" s="126"/>
      <c r="D737" s="126"/>
      <c r="E737" s="126"/>
      <c r="F737" s="126"/>
      <c r="G737" s="126"/>
      <c r="H737" s="126"/>
      <c r="I737" s="126"/>
      <c r="J737" s="126"/>
      <c r="K737" s="126"/>
      <c r="L737" s="126"/>
      <c r="M737" s="126"/>
    </row>
    <row r="738" spans="2:13">
      <c r="B738" s="126"/>
      <c r="C738" s="126"/>
      <c r="D738" s="126"/>
      <c r="E738" s="126"/>
      <c r="F738" s="126"/>
      <c r="G738" s="126"/>
      <c r="H738" s="126"/>
      <c r="I738" s="126"/>
      <c r="J738" s="126"/>
      <c r="K738" s="126"/>
      <c r="L738" s="126"/>
      <c r="M738" s="126"/>
    </row>
    <row r="739" spans="2:13">
      <c r="B739" s="126"/>
      <c r="C739" s="126"/>
      <c r="D739" s="126"/>
      <c r="E739" s="126"/>
      <c r="F739" s="126"/>
      <c r="G739" s="126"/>
      <c r="H739" s="126"/>
      <c r="I739" s="126"/>
      <c r="J739" s="126"/>
      <c r="K739" s="126"/>
      <c r="L739" s="126"/>
      <c r="M739" s="126"/>
    </row>
    <row r="740" spans="2:13">
      <c r="B740" s="126"/>
      <c r="C740" s="126"/>
      <c r="D740" s="126"/>
      <c r="E740" s="126"/>
      <c r="F740" s="126"/>
      <c r="G740" s="126"/>
      <c r="H740" s="126"/>
      <c r="I740" s="126"/>
      <c r="J740" s="126"/>
      <c r="K740" s="126"/>
      <c r="L740" s="126"/>
      <c r="M740" s="126"/>
    </row>
    <row r="741" spans="2:13">
      <c r="B741" s="126"/>
      <c r="C741" s="126"/>
      <c r="D741" s="126"/>
      <c r="E741" s="126"/>
      <c r="F741" s="126"/>
      <c r="G741" s="126"/>
      <c r="H741" s="126"/>
      <c r="I741" s="126"/>
      <c r="J741" s="126"/>
      <c r="K741" s="126"/>
      <c r="L741" s="126"/>
      <c r="M741" s="126"/>
    </row>
    <row r="742" spans="2:13">
      <c r="B742" s="126"/>
      <c r="C742" s="126"/>
      <c r="D742" s="126"/>
      <c r="E742" s="126"/>
      <c r="F742" s="126"/>
      <c r="G742" s="126"/>
      <c r="H742" s="126"/>
      <c r="I742" s="126"/>
      <c r="J742" s="126"/>
      <c r="K742" s="126"/>
      <c r="L742" s="126"/>
      <c r="M742" s="126"/>
    </row>
    <row r="743" spans="2:13">
      <c r="B743" s="126"/>
      <c r="C743" s="126"/>
      <c r="D743" s="126"/>
      <c r="E743" s="126"/>
      <c r="F743" s="126"/>
      <c r="G743" s="126"/>
      <c r="H743" s="126"/>
      <c r="I743" s="126"/>
      <c r="J743" s="126"/>
      <c r="K743" s="126"/>
      <c r="L743" s="126"/>
      <c r="M743" s="126"/>
    </row>
    <row r="744" spans="2:13">
      <c r="B744" s="126"/>
      <c r="C744" s="126"/>
      <c r="D744" s="126"/>
      <c r="E744" s="126"/>
      <c r="F744" s="126"/>
      <c r="G744" s="126"/>
      <c r="H744" s="126"/>
      <c r="I744" s="126"/>
      <c r="J744" s="126"/>
      <c r="K744" s="126"/>
      <c r="L744" s="126"/>
      <c r="M744" s="126"/>
    </row>
    <row r="745" spans="2:13">
      <c r="B745" s="126"/>
      <c r="C745" s="126"/>
      <c r="D745" s="126"/>
      <c r="E745" s="126"/>
      <c r="F745" s="126"/>
      <c r="G745" s="126"/>
      <c r="H745" s="126"/>
      <c r="I745" s="126"/>
      <c r="J745" s="126"/>
      <c r="K745" s="126"/>
      <c r="L745" s="126"/>
      <c r="M745" s="126"/>
    </row>
    <row r="746" spans="2:13">
      <c r="B746" s="126"/>
      <c r="C746" s="126"/>
      <c r="D746" s="126"/>
      <c r="E746" s="126"/>
      <c r="F746" s="126"/>
      <c r="G746" s="126"/>
      <c r="H746" s="126"/>
      <c r="I746" s="126"/>
      <c r="J746" s="126"/>
      <c r="K746" s="126"/>
      <c r="L746" s="126"/>
      <c r="M746" s="126"/>
    </row>
    <row r="747" spans="2:13">
      <c r="B747" s="126"/>
      <c r="C747" s="126"/>
      <c r="D747" s="126"/>
      <c r="E747" s="126"/>
      <c r="F747" s="126"/>
      <c r="G747" s="126"/>
      <c r="H747" s="126"/>
      <c r="I747" s="126"/>
      <c r="J747" s="126"/>
      <c r="K747" s="126"/>
      <c r="L747" s="126"/>
      <c r="M747" s="126"/>
    </row>
    <row r="748" spans="2:13">
      <c r="B748" s="126"/>
      <c r="C748" s="126"/>
      <c r="D748" s="126"/>
      <c r="E748" s="126"/>
      <c r="F748" s="126"/>
      <c r="G748" s="126"/>
      <c r="H748" s="126"/>
      <c r="I748" s="126"/>
      <c r="J748" s="126"/>
      <c r="K748" s="126"/>
      <c r="L748" s="126"/>
      <c r="M748" s="126"/>
    </row>
    <row r="749" spans="2:13">
      <c r="B749" s="126"/>
      <c r="C749" s="126"/>
      <c r="D749" s="126"/>
      <c r="E749" s="126"/>
      <c r="F749" s="126"/>
      <c r="G749" s="126"/>
      <c r="H749" s="126"/>
      <c r="I749" s="126"/>
      <c r="J749" s="126"/>
      <c r="K749" s="126"/>
      <c r="L749" s="126"/>
      <c r="M749" s="126"/>
    </row>
    <row r="750" spans="2:13">
      <c r="B750" s="126"/>
      <c r="C750" s="126"/>
      <c r="D750" s="126"/>
      <c r="E750" s="126"/>
      <c r="F750" s="126"/>
      <c r="G750" s="126"/>
      <c r="H750" s="126"/>
      <c r="I750" s="126"/>
      <c r="J750" s="126"/>
      <c r="K750" s="126"/>
      <c r="L750" s="126"/>
      <c r="M750" s="126"/>
    </row>
    <row r="751" spans="2:13">
      <c r="B751" s="126"/>
      <c r="C751" s="126"/>
      <c r="D751" s="126"/>
      <c r="E751" s="126"/>
      <c r="F751" s="126"/>
      <c r="G751" s="126"/>
      <c r="H751" s="126"/>
      <c r="I751" s="126"/>
      <c r="J751" s="126"/>
      <c r="K751" s="126"/>
      <c r="L751" s="126"/>
      <c r="M751" s="126"/>
    </row>
    <row r="752" spans="2:13">
      <c r="B752" s="126"/>
      <c r="C752" s="126"/>
      <c r="D752" s="126"/>
      <c r="E752" s="126"/>
      <c r="F752" s="126"/>
      <c r="G752" s="126"/>
      <c r="H752" s="126"/>
      <c r="I752" s="126"/>
      <c r="J752" s="126"/>
      <c r="K752" s="126"/>
      <c r="L752" s="126"/>
      <c r="M752" s="126"/>
    </row>
    <row r="753" spans="2:13">
      <c r="B753" s="126"/>
      <c r="C753" s="126"/>
      <c r="D753" s="126"/>
      <c r="E753" s="126"/>
      <c r="F753" s="126"/>
      <c r="G753" s="126"/>
      <c r="H753" s="126"/>
      <c r="I753" s="126"/>
      <c r="J753" s="126"/>
      <c r="K753" s="126"/>
      <c r="L753" s="126"/>
      <c r="M753" s="126"/>
    </row>
    <row r="754" spans="2:13">
      <c r="B754" s="126"/>
      <c r="C754" s="126"/>
      <c r="D754" s="126"/>
      <c r="E754" s="126"/>
      <c r="F754" s="126"/>
      <c r="G754" s="126"/>
      <c r="H754" s="126"/>
      <c r="I754" s="126"/>
      <c r="J754" s="126"/>
      <c r="K754" s="126"/>
      <c r="L754" s="126"/>
      <c r="M754" s="126"/>
    </row>
    <row r="755" spans="2:13">
      <c r="B755" s="126"/>
      <c r="C755" s="126"/>
      <c r="D755" s="126"/>
      <c r="E755" s="126"/>
      <c r="F755" s="126"/>
      <c r="G755" s="126"/>
      <c r="H755" s="126"/>
      <c r="I755" s="126"/>
      <c r="J755" s="126"/>
      <c r="K755" s="126"/>
      <c r="L755" s="126"/>
      <c r="M755" s="126"/>
    </row>
    <row r="756" spans="2:13">
      <c r="B756" s="126"/>
      <c r="C756" s="126"/>
      <c r="D756" s="126"/>
      <c r="E756" s="126"/>
      <c r="F756" s="126"/>
      <c r="G756" s="126"/>
      <c r="H756" s="126"/>
      <c r="I756" s="126"/>
      <c r="J756" s="126"/>
      <c r="K756" s="126"/>
      <c r="L756" s="126"/>
      <c r="M756" s="126"/>
    </row>
    <row r="757" spans="2:13">
      <c r="B757" s="126"/>
      <c r="C757" s="126"/>
      <c r="D757" s="126"/>
      <c r="E757" s="126"/>
      <c r="F757" s="126"/>
      <c r="G757" s="126"/>
      <c r="H757" s="126"/>
      <c r="I757" s="126"/>
      <c r="J757" s="126"/>
      <c r="K757" s="126"/>
      <c r="L757" s="126"/>
      <c r="M757" s="126"/>
    </row>
    <row r="758" spans="2:13">
      <c r="B758" s="126"/>
      <c r="C758" s="126"/>
      <c r="D758" s="126"/>
      <c r="E758" s="126"/>
      <c r="F758" s="126"/>
      <c r="G758" s="126"/>
      <c r="H758" s="126"/>
      <c r="I758" s="126"/>
      <c r="J758" s="126"/>
      <c r="K758" s="126"/>
      <c r="L758" s="126"/>
      <c r="M758" s="126"/>
    </row>
    <row r="759" spans="2:13">
      <c r="B759" s="126"/>
      <c r="C759" s="126"/>
      <c r="D759" s="126"/>
      <c r="E759" s="126"/>
      <c r="F759" s="126"/>
      <c r="G759" s="126"/>
      <c r="H759" s="126"/>
      <c r="I759" s="126"/>
      <c r="J759" s="126"/>
      <c r="K759" s="126"/>
      <c r="L759" s="126"/>
      <c r="M759" s="126"/>
    </row>
    <row r="760" spans="2:13">
      <c r="B760" s="126"/>
      <c r="C760" s="126"/>
      <c r="D760" s="126"/>
      <c r="E760" s="126"/>
      <c r="F760" s="126"/>
      <c r="G760" s="126"/>
      <c r="H760" s="126"/>
      <c r="I760" s="126"/>
      <c r="J760" s="126"/>
      <c r="K760" s="126"/>
      <c r="L760" s="126"/>
      <c r="M760" s="126"/>
    </row>
    <row r="761" spans="2:13">
      <c r="B761" s="126"/>
      <c r="C761" s="126"/>
      <c r="D761" s="126"/>
      <c r="E761" s="126"/>
      <c r="F761" s="126"/>
      <c r="G761" s="126"/>
      <c r="H761" s="126"/>
      <c r="I761" s="126"/>
      <c r="J761" s="126"/>
      <c r="K761" s="126"/>
      <c r="L761" s="126"/>
      <c r="M761" s="126"/>
    </row>
    <row r="762" spans="2:13">
      <c r="B762" s="126"/>
      <c r="C762" s="126"/>
      <c r="D762" s="126"/>
      <c r="E762" s="126"/>
      <c r="F762" s="126"/>
      <c r="G762" s="126"/>
      <c r="H762" s="126"/>
      <c r="I762" s="126"/>
      <c r="J762" s="126"/>
      <c r="K762" s="126"/>
      <c r="L762" s="126"/>
      <c r="M762" s="126"/>
    </row>
    <row r="763" spans="2:13">
      <c r="B763" s="126"/>
      <c r="C763" s="126"/>
      <c r="D763" s="126"/>
      <c r="E763" s="126"/>
      <c r="F763" s="126"/>
      <c r="G763" s="126"/>
      <c r="H763" s="126"/>
      <c r="I763" s="126"/>
      <c r="J763" s="126"/>
      <c r="K763" s="126"/>
      <c r="L763" s="126"/>
      <c r="M763" s="126"/>
    </row>
    <row r="764" spans="2:13">
      <c r="B764" s="126"/>
      <c r="C764" s="126"/>
      <c r="D764" s="126"/>
      <c r="E764" s="126"/>
      <c r="F764" s="126"/>
      <c r="G764" s="126"/>
      <c r="H764" s="126"/>
      <c r="I764" s="126"/>
      <c r="J764" s="126"/>
      <c r="K764" s="126"/>
      <c r="L764" s="126"/>
      <c r="M764" s="126"/>
    </row>
    <row r="765" spans="2:13">
      <c r="B765" s="126"/>
      <c r="C765" s="126"/>
      <c r="D765" s="126"/>
      <c r="E765" s="126"/>
      <c r="F765" s="126"/>
      <c r="G765" s="126"/>
      <c r="H765" s="126"/>
      <c r="I765" s="126"/>
      <c r="J765" s="126"/>
      <c r="K765" s="126"/>
      <c r="L765" s="126"/>
      <c r="M765" s="126"/>
    </row>
    <row r="766" spans="2:13">
      <c r="B766" s="126"/>
      <c r="C766" s="126"/>
      <c r="D766" s="126"/>
      <c r="E766" s="126"/>
      <c r="F766" s="126"/>
      <c r="G766" s="126"/>
      <c r="H766" s="126"/>
      <c r="I766" s="126"/>
      <c r="J766" s="126"/>
      <c r="K766" s="126"/>
      <c r="L766" s="126"/>
      <c r="M766" s="126"/>
    </row>
    <row r="767" spans="2:13">
      <c r="B767" s="126"/>
      <c r="C767" s="126"/>
      <c r="D767" s="126"/>
      <c r="E767" s="126"/>
      <c r="F767" s="126"/>
      <c r="G767" s="126"/>
      <c r="H767" s="126"/>
      <c r="I767" s="126"/>
      <c r="J767" s="126"/>
      <c r="K767" s="126"/>
      <c r="L767" s="126"/>
      <c r="M767" s="126"/>
    </row>
    <row r="768" spans="2:13">
      <c r="B768" s="126"/>
      <c r="C768" s="126"/>
      <c r="D768" s="126"/>
      <c r="E768" s="126"/>
      <c r="F768" s="126"/>
      <c r="G768" s="126"/>
      <c r="H768" s="126"/>
      <c r="I768" s="126"/>
      <c r="J768" s="126"/>
      <c r="K768" s="126"/>
      <c r="L768" s="126"/>
      <c r="M768" s="126"/>
    </row>
    <row r="769" spans="2:13">
      <c r="B769" s="126"/>
      <c r="C769" s="126"/>
      <c r="D769" s="126"/>
      <c r="E769" s="126"/>
      <c r="F769" s="126"/>
      <c r="G769" s="126"/>
      <c r="H769" s="126"/>
      <c r="I769" s="126"/>
      <c r="J769" s="126"/>
      <c r="K769" s="126"/>
      <c r="L769" s="126"/>
      <c r="M769" s="126"/>
    </row>
    <row r="770" spans="2:13">
      <c r="B770" s="126"/>
      <c r="C770" s="126"/>
      <c r="D770" s="126"/>
      <c r="E770" s="126"/>
      <c r="F770" s="126"/>
      <c r="G770" s="126"/>
      <c r="H770" s="126"/>
      <c r="I770" s="126"/>
      <c r="J770" s="126"/>
      <c r="K770" s="126"/>
      <c r="L770" s="126"/>
      <c r="M770" s="126"/>
    </row>
    <row r="771" spans="2:13">
      <c r="B771" s="126"/>
      <c r="C771" s="126"/>
      <c r="D771" s="126"/>
      <c r="E771" s="126"/>
      <c r="F771" s="126"/>
      <c r="G771" s="126"/>
      <c r="H771" s="126"/>
      <c r="I771" s="126"/>
      <c r="J771" s="126"/>
      <c r="K771" s="126"/>
      <c r="L771" s="126"/>
      <c r="M771" s="126"/>
    </row>
    <row r="772" spans="2:13">
      <c r="B772" s="126"/>
      <c r="C772" s="126"/>
      <c r="D772" s="126"/>
      <c r="E772" s="126"/>
      <c r="F772" s="126"/>
      <c r="G772" s="126"/>
      <c r="H772" s="126"/>
      <c r="I772" s="126"/>
      <c r="J772" s="126"/>
      <c r="K772" s="126"/>
      <c r="L772" s="126"/>
      <c r="M772" s="126"/>
    </row>
    <row r="773" spans="2:13">
      <c r="B773" s="126"/>
      <c r="C773" s="126"/>
      <c r="D773" s="126"/>
      <c r="E773" s="126"/>
      <c r="F773" s="126"/>
      <c r="G773" s="126"/>
      <c r="H773" s="126"/>
      <c r="I773" s="126"/>
      <c r="J773" s="126"/>
      <c r="K773" s="126"/>
      <c r="L773" s="126"/>
      <c r="M773" s="126"/>
    </row>
    <row r="774" spans="2:13">
      <c r="B774" s="126"/>
      <c r="C774" s="126"/>
      <c r="D774" s="126"/>
      <c r="E774" s="126"/>
      <c r="F774" s="126"/>
      <c r="G774" s="126"/>
      <c r="H774" s="126"/>
      <c r="I774" s="126"/>
      <c r="J774" s="126"/>
      <c r="K774" s="126"/>
      <c r="L774" s="126"/>
      <c r="M774" s="126"/>
    </row>
    <row r="775" spans="2:13">
      <c r="B775" s="126"/>
      <c r="C775" s="126"/>
      <c r="D775" s="126"/>
      <c r="E775" s="126"/>
      <c r="F775" s="126"/>
      <c r="G775" s="126"/>
      <c r="H775" s="126"/>
      <c r="I775" s="126"/>
      <c r="J775" s="126"/>
      <c r="K775" s="126"/>
      <c r="L775" s="126"/>
      <c r="M775" s="126"/>
    </row>
    <row r="776" spans="2:13">
      <c r="B776" s="126"/>
      <c r="C776" s="126"/>
      <c r="D776" s="126"/>
      <c r="E776" s="126"/>
      <c r="F776" s="126"/>
      <c r="G776" s="126"/>
      <c r="H776" s="126"/>
      <c r="I776" s="126"/>
      <c r="J776" s="126"/>
      <c r="K776" s="126"/>
      <c r="L776" s="126"/>
      <c r="M776" s="126"/>
    </row>
    <row r="777" spans="2:13">
      <c r="B777" s="126"/>
      <c r="C777" s="126"/>
      <c r="D777" s="126"/>
      <c r="E777" s="126"/>
      <c r="F777" s="126"/>
      <c r="G777" s="126"/>
      <c r="H777" s="126"/>
      <c r="I777" s="126"/>
      <c r="J777" s="126"/>
      <c r="K777" s="126"/>
      <c r="L777" s="126"/>
      <c r="M777" s="126"/>
    </row>
    <row r="778" spans="2:13">
      <c r="B778" s="126"/>
      <c r="C778" s="126"/>
      <c r="D778" s="126"/>
      <c r="E778" s="126"/>
      <c r="F778" s="126"/>
      <c r="G778" s="126"/>
      <c r="H778" s="126"/>
      <c r="I778" s="126"/>
      <c r="J778" s="126"/>
      <c r="K778" s="126"/>
      <c r="L778" s="126"/>
      <c r="M778" s="126"/>
    </row>
    <row r="779" spans="2:13">
      <c r="B779" s="126"/>
      <c r="C779" s="126"/>
      <c r="D779" s="126"/>
      <c r="E779" s="126"/>
      <c r="F779" s="126"/>
      <c r="G779" s="126"/>
      <c r="H779" s="126"/>
      <c r="I779" s="126"/>
      <c r="J779" s="126"/>
      <c r="K779" s="126"/>
      <c r="L779" s="126"/>
      <c r="M779" s="126"/>
    </row>
    <row r="780" spans="2:13">
      <c r="B780" s="126"/>
      <c r="C780" s="126"/>
      <c r="D780" s="126"/>
      <c r="E780" s="126"/>
      <c r="F780" s="126"/>
      <c r="G780" s="126"/>
      <c r="H780" s="126"/>
      <c r="I780" s="126"/>
      <c r="J780" s="126"/>
      <c r="K780" s="126"/>
      <c r="L780" s="126"/>
      <c r="M780" s="126"/>
    </row>
    <row r="781" spans="2:13">
      <c r="B781" s="126"/>
      <c r="C781" s="126"/>
      <c r="D781" s="126"/>
      <c r="E781" s="126"/>
      <c r="F781" s="126"/>
      <c r="G781" s="126"/>
      <c r="H781" s="126"/>
      <c r="I781" s="126"/>
      <c r="J781" s="126"/>
      <c r="K781" s="126"/>
      <c r="L781" s="126"/>
      <c r="M781" s="126"/>
    </row>
    <row r="782" spans="2:13">
      <c r="B782" s="126"/>
      <c r="C782" s="126"/>
      <c r="D782" s="126"/>
      <c r="E782" s="126"/>
      <c r="F782" s="126"/>
      <c r="G782" s="126"/>
      <c r="H782" s="126"/>
      <c r="I782" s="126"/>
      <c r="J782" s="126"/>
      <c r="K782" s="126"/>
      <c r="L782" s="126"/>
      <c r="M782" s="126"/>
    </row>
    <row r="783" spans="2:13">
      <c r="B783" s="126"/>
      <c r="C783" s="126"/>
      <c r="D783" s="126"/>
      <c r="E783" s="126"/>
      <c r="F783" s="126"/>
      <c r="G783" s="126"/>
      <c r="H783" s="126"/>
      <c r="I783" s="126"/>
      <c r="J783" s="126"/>
      <c r="K783" s="126"/>
      <c r="L783" s="126"/>
      <c r="M783" s="126"/>
    </row>
    <row r="784" spans="2:13">
      <c r="B784" s="126"/>
      <c r="C784" s="126"/>
      <c r="D784" s="126"/>
      <c r="E784" s="126"/>
      <c r="F784" s="126"/>
      <c r="G784" s="126"/>
      <c r="H784" s="126"/>
      <c r="I784" s="126"/>
      <c r="J784" s="126"/>
      <c r="K784" s="126"/>
      <c r="L784" s="126"/>
      <c r="M784" s="126"/>
    </row>
    <row r="785" spans="2:13">
      <c r="B785" s="126"/>
      <c r="C785" s="126"/>
      <c r="D785" s="126"/>
      <c r="E785" s="126"/>
      <c r="F785" s="126"/>
      <c r="G785" s="126"/>
      <c r="H785" s="126"/>
      <c r="I785" s="126"/>
      <c r="J785" s="126"/>
      <c r="K785" s="126"/>
      <c r="L785" s="126"/>
      <c r="M785" s="126"/>
    </row>
    <row r="786" spans="2:13">
      <c r="B786" s="126"/>
      <c r="C786" s="126"/>
      <c r="D786" s="126"/>
      <c r="E786" s="126"/>
      <c r="F786" s="126"/>
      <c r="G786" s="126"/>
      <c r="H786" s="126"/>
      <c r="I786" s="126"/>
      <c r="J786" s="126"/>
      <c r="K786" s="126"/>
      <c r="L786" s="126"/>
      <c r="M786" s="126"/>
    </row>
    <row r="787" spans="2:13">
      <c r="B787" s="126"/>
      <c r="C787" s="126"/>
      <c r="D787" s="126"/>
      <c r="E787" s="126"/>
      <c r="F787" s="126"/>
      <c r="G787" s="126"/>
      <c r="H787" s="126"/>
      <c r="I787" s="126"/>
      <c r="J787" s="126"/>
      <c r="K787" s="126"/>
      <c r="L787" s="126"/>
      <c r="M787" s="126"/>
    </row>
    <row r="788" spans="2:13">
      <c r="B788" s="126"/>
      <c r="C788" s="126"/>
      <c r="D788" s="126"/>
      <c r="E788" s="126"/>
      <c r="F788" s="126"/>
      <c r="G788" s="126"/>
      <c r="H788" s="126"/>
      <c r="I788" s="126"/>
      <c r="J788" s="126"/>
      <c r="K788" s="126"/>
      <c r="L788" s="126"/>
      <c r="M788" s="126"/>
    </row>
    <row r="789" spans="2:13">
      <c r="B789" s="126"/>
      <c r="C789" s="126"/>
      <c r="D789" s="126"/>
      <c r="E789" s="126"/>
      <c r="F789" s="126"/>
      <c r="G789" s="126"/>
      <c r="H789" s="126"/>
      <c r="I789" s="126"/>
      <c r="J789" s="126"/>
      <c r="K789" s="126"/>
      <c r="L789" s="126"/>
      <c r="M789" s="126"/>
    </row>
    <row r="790" spans="2:13">
      <c r="B790" s="126"/>
      <c r="C790" s="126"/>
      <c r="D790" s="126"/>
      <c r="E790" s="126"/>
      <c r="F790" s="126"/>
      <c r="G790" s="126"/>
      <c r="H790" s="126"/>
      <c r="I790" s="126"/>
      <c r="J790" s="126"/>
      <c r="K790" s="126"/>
      <c r="L790" s="126"/>
      <c r="M790" s="126"/>
    </row>
    <row r="791" spans="2:13">
      <c r="B791" s="126"/>
      <c r="C791" s="126"/>
      <c r="D791" s="126"/>
      <c r="E791" s="126"/>
      <c r="F791" s="126"/>
      <c r="G791" s="126"/>
      <c r="H791" s="126"/>
      <c r="I791" s="126"/>
      <c r="J791" s="126"/>
      <c r="K791" s="126"/>
      <c r="L791" s="126"/>
      <c r="M791" s="126"/>
    </row>
    <row r="792" spans="2:13">
      <c r="B792" s="126"/>
      <c r="C792" s="126"/>
      <c r="D792" s="126"/>
      <c r="E792" s="126"/>
      <c r="F792" s="126"/>
      <c r="G792" s="126"/>
      <c r="H792" s="126"/>
      <c r="I792" s="126"/>
      <c r="J792" s="126"/>
      <c r="K792" s="126"/>
      <c r="L792" s="126"/>
      <c r="M792" s="126"/>
    </row>
    <row r="793" spans="2:13">
      <c r="B793" s="126"/>
      <c r="C793" s="126"/>
      <c r="D793" s="126"/>
      <c r="E793" s="126"/>
      <c r="F793" s="126"/>
      <c r="G793" s="126"/>
      <c r="H793" s="126"/>
      <c r="I793" s="126"/>
      <c r="J793" s="126"/>
      <c r="K793" s="126"/>
      <c r="L793" s="126"/>
      <c r="M793" s="126"/>
    </row>
    <row r="794" spans="2:13">
      <c r="B794" s="126"/>
      <c r="C794" s="126"/>
      <c r="D794" s="126"/>
      <c r="E794" s="126"/>
      <c r="F794" s="126"/>
      <c r="G794" s="126"/>
      <c r="H794" s="126"/>
      <c r="I794" s="126"/>
      <c r="J794" s="126"/>
      <c r="K794" s="126"/>
      <c r="L794" s="126"/>
      <c r="M794" s="126"/>
    </row>
    <row r="795" spans="2:13">
      <c r="B795" s="126"/>
      <c r="C795" s="126"/>
      <c r="D795" s="126"/>
      <c r="E795" s="126"/>
      <c r="F795" s="126"/>
      <c r="G795" s="126"/>
      <c r="H795" s="126"/>
      <c r="I795" s="126"/>
      <c r="J795" s="126"/>
      <c r="K795" s="126"/>
      <c r="L795" s="126"/>
      <c r="M795" s="126"/>
    </row>
    <row r="796" spans="2:13">
      <c r="B796" s="126"/>
      <c r="C796" s="126"/>
      <c r="D796" s="126"/>
      <c r="E796" s="126"/>
      <c r="F796" s="126"/>
      <c r="G796" s="126"/>
      <c r="H796" s="126"/>
      <c r="I796" s="126"/>
      <c r="J796" s="126"/>
      <c r="K796" s="126"/>
      <c r="L796" s="126"/>
      <c r="M796" s="126"/>
    </row>
    <row r="797" spans="2:13">
      <c r="B797" s="126"/>
      <c r="C797" s="126"/>
      <c r="D797" s="126"/>
      <c r="E797" s="126"/>
      <c r="F797" s="126"/>
      <c r="G797" s="126"/>
      <c r="H797" s="126"/>
      <c r="I797" s="126"/>
      <c r="J797" s="126"/>
      <c r="K797" s="126"/>
      <c r="L797" s="126"/>
      <c r="M797" s="126"/>
    </row>
    <row r="798" spans="2:13">
      <c r="B798" s="126"/>
      <c r="C798" s="126"/>
      <c r="D798" s="126"/>
      <c r="E798" s="126"/>
      <c r="F798" s="126"/>
      <c r="G798" s="126"/>
      <c r="H798" s="126"/>
      <c r="I798" s="126"/>
      <c r="J798" s="126"/>
      <c r="K798" s="126"/>
      <c r="L798" s="126"/>
      <c r="M798" s="126"/>
    </row>
    <row r="799" spans="2:13">
      <c r="B799" s="126"/>
      <c r="C799" s="126"/>
      <c r="D799" s="126"/>
      <c r="E799" s="126"/>
      <c r="F799" s="126"/>
      <c r="G799" s="126"/>
      <c r="H799" s="126"/>
      <c r="I799" s="126"/>
      <c r="J799" s="126"/>
      <c r="K799" s="126"/>
      <c r="L799" s="126"/>
      <c r="M799" s="126"/>
    </row>
    <row r="800" spans="2:13">
      <c r="B800" s="126"/>
      <c r="C800" s="126"/>
      <c r="D800" s="126"/>
      <c r="E800" s="126"/>
      <c r="F800" s="126"/>
      <c r="G800" s="126"/>
      <c r="H800" s="126"/>
      <c r="I800" s="126"/>
      <c r="J800" s="126"/>
      <c r="K800" s="126"/>
      <c r="L800" s="126"/>
      <c r="M800" s="126"/>
    </row>
    <row r="801" spans="2:13">
      <c r="B801" s="126"/>
      <c r="C801" s="126"/>
      <c r="D801" s="126"/>
      <c r="E801" s="126"/>
      <c r="F801" s="126"/>
      <c r="G801" s="126"/>
      <c r="H801" s="126"/>
      <c r="I801" s="126"/>
      <c r="J801" s="126"/>
      <c r="K801" s="126"/>
      <c r="L801" s="126"/>
      <c r="M801" s="126"/>
    </row>
    <row r="802" spans="2:13">
      <c r="B802" s="126"/>
      <c r="C802" s="126"/>
      <c r="D802" s="126"/>
      <c r="E802" s="126"/>
      <c r="F802" s="126"/>
      <c r="G802" s="126"/>
      <c r="H802" s="126"/>
      <c r="I802" s="126"/>
      <c r="J802" s="126"/>
      <c r="K802" s="126"/>
      <c r="L802" s="126"/>
      <c r="M802" s="126"/>
    </row>
    <row r="803" spans="2:13">
      <c r="B803" s="126"/>
      <c r="C803" s="126"/>
      <c r="D803" s="126"/>
      <c r="E803" s="126"/>
      <c r="F803" s="126"/>
      <c r="G803" s="126"/>
      <c r="H803" s="126"/>
      <c r="I803" s="126"/>
      <c r="J803" s="126"/>
      <c r="K803" s="126"/>
      <c r="L803" s="126"/>
      <c r="M803" s="126"/>
    </row>
    <row r="804" spans="2:13">
      <c r="B804" s="126"/>
      <c r="C804" s="126"/>
      <c r="D804" s="126"/>
      <c r="E804" s="126"/>
      <c r="F804" s="126"/>
      <c r="G804" s="126"/>
      <c r="H804" s="126"/>
      <c r="I804" s="126"/>
      <c r="J804" s="126"/>
      <c r="K804" s="126"/>
      <c r="L804" s="126"/>
      <c r="M804" s="126"/>
    </row>
    <row r="805" spans="2:13">
      <c r="B805" s="126"/>
      <c r="C805" s="126"/>
      <c r="D805" s="126"/>
      <c r="E805" s="126"/>
      <c r="F805" s="126"/>
      <c r="G805" s="126"/>
      <c r="H805" s="126"/>
      <c r="I805" s="126"/>
      <c r="J805" s="126"/>
      <c r="K805" s="126"/>
      <c r="L805" s="126"/>
      <c r="M805" s="126"/>
    </row>
    <row r="806" spans="2:13">
      <c r="B806" s="126"/>
      <c r="C806" s="126"/>
      <c r="D806" s="126"/>
      <c r="E806" s="126"/>
      <c r="F806" s="126"/>
      <c r="G806" s="126"/>
      <c r="H806" s="126"/>
      <c r="I806" s="126"/>
      <c r="J806" s="126"/>
      <c r="K806" s="126"/>
      <c r="L806" s="126"/>
      <c r="M806" s="126"/>
    </row>
    <row r="807" spans="2:13">
      <c r="B807" s="126"/>
      <c r="C807" s="126"/>
      <c r="D807" s="126"/>
      <c r="E807" s="126"/>
      <c r="F807" s="126"/>
      <c r="G807" s="126"/>
      <c r="H807" s="126"/>
      <c r="I807" s="126"/>
      <c r="J807" s="126"/>
      <c r="K807" s="126"/>
      <c r="L807" s="126"/>
      <c r="M807" s="126"/>
    </row>
    <row r="808" spans="2:13">
      <c r="B808" s="126"/>
      <c r="C808" s="126"/>
      <c r="D808" s="126"/>
      <c r="E808" s="126"/>
      <c r="F808" s="126"/>
      <c r="G808" s="126"/>
      <c r="H808" s="126"/>
      <c r="I808" s="126"/>
      <c r="J808" s="126"/>
      <c r="K808" s="126"/>
      <c r="L808" s="126"/>
      <c r="M808" s="126"/>
    </row>
    <row r="809" spans="2:13">
      <c r="B809" s="126"/>
      <c r="C809" s="126"/>
      <c r="D809" s="126"/>
      <c r="E809" s="126"/>
      <c r="F809" s="126"/>
      <c r="G809" s="126"/>
      <c r="H809" s="126"/>
      <c r="I809" s="126"/>
      <c r="J809" s="126"/>
      <c r="K809" s="126"/>
      <c r="L809" s="126"/>
      <c r="M809" s="126"/>
    </row>
    <row r="810" spans="2:13">
      <c r="B810" s="126"/>
      <c r="C810" s="126"/>
      <c r="D810" s="126"/>
      <c r="E810" s="126"/>
      <c r="F810" s="126"/>
      <c r="G810" s="126"/>
      <c r="H810" s="126"/>
      <c r="I810" s="126"/>
      <c r="J810" s="126"/>
      <c r="K810" s="126"/>
      <c r="L810" s="126"/>
      <c r="M810" s="126"/>
    </row>
    <row r="811" spans="2:13">
      <c r="B811" s="126"/>
      <c r="C811" s="126"/>
      <c r="D811" s="126"/>
      <c r="E811" s="126"/>
      <c r="F811" s="126"/>
      <c r="G811" s="126"/>
      <c r="H811" s="126"/>
      <c r="I811" s="126"/>
      <c r="J811" s="126"/>
      <c r="K811" s="126"/>
      <c r="L811" s="126"/>
      <c r="M811" s="126"/>
    </row>
    <row r="812" spans="2:13">
      <c r="B812" s="126"/>
      <c r="C812" s="126"/>
      <c r="D812" s="126"/>
      <c r="E812" s="126"/>
      <c r="F812" s="126"/>
      <c r="G812" s="126"/>
      <c r="H812" s="126"/>
      <c r="I812" s="126"/>
      <c r="J812" s="126"/>
      <c r="K812" s="126"/>
      <c r="L812" s="126"/>
      <c r="M812" s="126"/>
    </row>
    <row r="813" spans="2:13">
      <c r="B813" s="126"/>
      <c r="C813" s="126"/>
      <c r="D813" s="126"/>
      <c r="E813" s="126"/>
      <c r="F813" s="126"/>
      <c r="G813" s="126"/>
      <c r="H813" s="126"/>
      <c r="I813" s="126"/>
      <c r="J813" s="126"/>
      <c r="K813" s="126"/>
      <c r="L813" s="126"/>
      <c r="M813" s="126"/>
    </row>
    <row r="814" spans="2:13">
      <c r="B814" s="126"/>
      <c r="C814" s="126"/>
      <c r="D814" s="126"/>
      <c r="E814" s="126"/>
      <c r="F814" s="126"/>
      <c r="G814" s="126"/>
      <c r="H814" s="126"/>
      <c r="I814" s="126"/>
      <c r="J814" s="126"/>
      <c r="K814" s="126"/>
      <c r="L814" s="126"/>
      <c r="M814" s="126"/>
    </row>
    <row r="815" spans="2:13">
      <c r="B815" s="126"/>
      <c r="C815" s="126"/>
      <c r="D815" s="126"/>
      <c r="E815" s="126"/>
      <c r="F815" s="126"/>
      <c r="G815" s="126"/>
      <c r="H815" s="126"/>
      <c r="I815" s="126"/>
      <c r="J815" s="126"/>
      <c r="K815" s="126"/>
      <c r="L815" s="126"/>
      <c r="M815" s="126"/>
    </row>
    <row r="816" spans="2:13">
      <c r="B816" s="126"/>
      <c r="C816" s="126"/>
      <c r="D816" s="126"/>
      <c r="E816" s="126"/>
      <c r="F816" s="126"/>
      <c r="G816" s="126"/>
      <c r="H816" s="126"/>
      <c r="I816" s="126"/>
      <c r="J816" s="126"/>
      <c r="K816" s="126"/>
      <c r="L816" s="126"/>
      <c r="M816" s="126"/>
    </row>
    <row r="817" spans="2:13">
      <c r="B817" s="126"/>
      <c r="C817" s="126"/>
      <c r="D817" s="126"/>
      <c r="E817" s="126"/>
      <c r="F817" s="126"/>
      <c r="G817" s="126"/>
      <c r="H817" s="126"/>
      <c r="I817" s="126"/>
      <c r="J817" s="126"/>
      <c r="K817" s="126"/>
      <c r="L817" s="126"/>
      <c r="M817" s="126"/>
    </row>
    <row r="818" spans="2:13">
      <c r="B818" s="126"/>
      <c r="C818" s="126"/>
      <c r="D818" s="126"/>
      <c r="E818" s="126"/>
      <c r="F818" s="126"/>
      <c r="G818" s="126"/>
      <c r="H818" s="126"/>
      <c r="I818" s="126"/>
      <c r="J818" s="126"/>
      <c r="K818" s="126"/>
      <c r="L818" s="126"/>
      <c r="M818" s="126"/>
    </row>
    <row r="819" spans="2:13">
      <c r="B819" s="126"/>
      <c r="C819" s="126"/>
      <c r="D819" s="126"/>
      <c r="E819" s="126"/>
      <c r="F819" s="126"/>
      <c r="G819" s="126"/>
      <c r="H819" s="126"/>
      <c r="I819" s="126"/>
      <c r="J819" s="126"/>
      <c r="K819" s="126"/>
      <c r="L819" s="126"/>
      <c r="M819" s="126"/>
    </row>
    <row r="820" spans="2:13">
      <c r="B820" s="126"/>
      <c r="C820" s="126"/>
      <c r="D820" s="126"/>
      <c r="E820" s="126"/>
      <c r="F820" s="126"/>
      <c r="G820" s="126"/>
      <c r="H820" s="126"/>
      <c r="I820" s="126"/>
      <c r="J820" s="126"/>
      <c r="K820" s="126"/>
      <c r="L820" s="126"/>
      <c r="M820" s="126"/>
    </row>
    <row r="821" spans="2:13">
      <c r="B821" s="126"/>
      <c r="C821" s="126"/>
      <c r="D821" s="126"/>
      <c r="E821" s="126"/>
      <c r="F821" s="126"/>
      <c r="G821" s="126"/>
      <c r="H821" s="126"/>
      <c r="I821" s="126"/>
      <c r="J821" s="126"/>
      <c r="K821" s="126"/>
      <c r="L821" s="126"/>
      <c r="M821" s="126"/>
    </row>
    <row r="822" spans="2:13">
      <c r="B822" s="126"/>
      <c r="C822" s="126"/>
      <c r="D822" s="126"/>
      <c r="E822" s="126"/>
      <c r="F822" s="126"/>
      <c r="G822" s="126"/>
      <c r="H822" s="126"/>
      <c r="I822" s="126"/>
      <c r="J822" s="126"/>
      <c r="K822" s="126"/>
      <c r="L822" s="126"/>
      <c r="M822" s="126"/>
    </row>
    <row r="823" spans="2:13">
      <c r="B823" s="126"/>
      <c r="C823" s="126"/>
      <c r="D823" s="126"/>
      <c r="E823" s="126"/>
      <c r="F823" s="126"/>
      <c r="G823" s="126"/>
      <c r="H823" s="126"/>
      <c r="I823" s="126"/>
      <c r="J823" s="126"/>
      <c r="K823" s="126"/>
      <c r="L823" s="126"/>
      <c r="M823" s="126"/>
    </row>
    <row r="824" spans="2:13">
      <c r="B824" s="126"/>
      <c r="C824" s="126"/>
      <c r="D824" s="126"/>
      <c r="E824" s="126"/>
      <c r="F824" s="126"/>
      <c r="G824" s="126"/>
      <c r="H824" s="126"/>
      <c r="I824" s="126"/>
      <c r="J824" s="126"/>
      <c r="K824" s="126"/>
      <c r="L824" s="126"/>
      <c r="M824" s="126"/>
    </row>
    <row r="825" spans="2:13">
      <c r="B825" s="126"/>
      <c r="C825" s="126"/>
      <c r="D825" s="126"/>
      <c r="E825" s="126"/>
      <c r="F825" s="126"/>
      <c r="G825" s="126"/>
      <c r="H825" s="126"/>
      <c r="I825" s="126"/>
      <c r="J825" s="126"/>
      <c r="K825" s="126"/>
      <c r="L825" s="126"/>
      <c r="M825" s="126"/>
    </row>
    <row r="826" spans="2:13">
      <c r="B826" s="126"/>
      <c r="C826" s="126"/>
      <c r="D826" s="126"/>
      <c r="E826" s="126"/>
      <c r="F826" s="126"/>
      <c r="G826" s="126"/>
      <c r="H826" s="126"/>
      <c r="I826" s="126"/>
      <c r="J826" s="126"/>
      <c r="K826" s="126"/>
      <c r="L826" s="126"/>
      <c r="M826" s="126"/>
    </row>
    <row r="827" spans="2:13">
      <c r="B827" s="126"/>
      <c r="C827" s="126"/>
      <c r="D827" s="126"/>
      <c r="E827" s="126"/>
      <c r="F827" s="126"/>
      <c r="G827" s="126"/>
      <c r="H827" s="126"/>
      <c r="I827" s="126"/>
      <c r="J827" s="126"/>
      <c r="K827" s="126"/>
      <c r="L827" s="126"/>
      <c r="M827" s="126"/>
    </row>
    <row r="828" spans="2:13">
      <c r="B828" s="126"/>
      <c r="C828" s="126"/>
      <c r="D828" s="126"/>
      <c r="E828" s="126"/>
      <c r="F828" s="126"/>
      <c r="G828" s="126"/>
      <c r="H828" s="126"/>
      <c r="I828" s="126"/>
      <c r="J828" s="126"/>
      <c r="K828" s="126"/>
      <c r="L828" s="126"/>
      <c r="M828" s="126"/>
    </row>
    <row r="829" spans="2:13">
      <c r="B829" s="126"/>
      <c r="C829" s="126"/>
      <c r="D829" s="126"/>
      <c r="E829" s="126"/>
      <c r="F829" s="126"/>
      <c r="G829" s="126"/>
      <c r="H829" s="126"/>
      <c r="I829" s="126"/>
      <c r="J829" s="126"/>
      <c r="K829" s="126"/>
      <c r="L829" s="126"/>
      <c r="M829" s="126"/>
    </row>
    <row r="830" spans="2:13">
      <c r="B830" s="126"/>
      <c r="C830" s="126"/>
      <c r="D830" s="126"/>
      <c r="E830" s="126"/>
      <c r="F830" s="126"/>
      <c r="G830" s="126"/>
      <c r="H830" s="126"/>
      <c r="I830" s="126"/>
      <c r="J830" s="126"/>
      <c r="K830" s="126"/>
      <c r="L830" s="126"/>
      <c r="M830" s="126"/>
    </row>
    <row r="831" spans="2:13">
      <c r="B831" s="126"/>
      <c r="C831" s="126"/>
      <c r="D831" s="126"/>
      <c r="E831" s="126"/>
      <c r="F831" s="126"/>
      <c r="G831" s="126"/>
      <c r="H831" s="126"/>
      <c r="I831" s="126"/>
      <c r="J831" s="126"/>
      <c r="K831" s="126"/>
      <c r="L831" s="126"/>
      <c r="M831" s="126"/>
    </row>
    <row r="832" spans="2:13">
      <c r="B832" s="126"/>
      <c r="C832" s="126"/>
      <c r="D832" s="126"/>
      <c r="E832" s="126"/>
      <c r="F832" s="126"/>
      <c r="G832" s="126"/>
      <c r="H832" s="126"/>
      <c r="I832" s="126"/>
      <c r="J832" s="126"/>
      <c r="K832" s="126"/>
      <c r="L832" s="126"/>
      <c r="M832" s="126"/>
    </row>
    <row r="833" spans="2:13">
      <c r="B833" s="126"/>
      <c r="C833" s="126"/>
      <c r="D833" s="126"/>
      <c r="E833" s="126"/>
      <c r="F833" s="126"/>
      <c r="G833" s="126"/>
      <c r="H833" s="126"/>
      <c r="I833" s="126"/>
      <c r="J833" s="126"/>
      <c r="K833" s="126"/>
      <c r="L833" s="126"/>
      <c r="M833" s="126"/>
    </row>
    <row r="834" spans="2:13">
      <c r="B834" s="126"/>
      <c r="C834" s="126"/>
      <c r="D834" s="126"/>
      <c r="E834" s="126"/>
      <c r="F834" s="126"/>
      <c r="G834" s="126"/>
      <c r="H834" s="126"/>
      <c r="I834" s="126"/>
      <c r="J834" s="126"/>
      <c r="K834" s="126"/>
      <c r="L834" s="126"/>
      <c r="M834" s="126"/>
    </row>
    <row r="835" spans="2:13">
      <c r="B835" s="126"/>
      <c r="C835" s="126"/>
      <c r="D835" s="126"/>
      <c r="E835" s="126"/>
      <c r="F835" s="126"/>
      <c r="G835" s="126"/>
      <c r="H835" s="126"/>
      <c r="I835" s="126"/>
      <c r="J835" s="126"/>
      <c r="K835" s="126"/>
      <c r="L835" s="126"/>
      <c r="M835" s="126"/>
    </row>
    <row r="836" spans="2:13">
      <c r="B836" s="126"/>
      <c r="C836" s="126"/>
      <c r="D836" s="126"/>
      <c r="E836" s="126"/>
      <c r="F836" s="126"/>
      <c r="G836" s="126"/>
      <c r="H836" s="126"/>
      <c r="I836" s="126"/>
      <c r="J836" s="126"/>
      <c r="K836" s="126"/>
      <c r="L836" s="126"/>
      <c r="M836" s="126"/>
    </row>
    <row r="837" spans="2:13">
      <c r="B837" s="126"/>
      <c r="C837" s="126"/>
      <c r="D837" s="126"/>
      <c r="E837" s="126"/>
      <c r="F837" s="126"/>
      <c r="G837" s="126"/>
      <c r="H837" s="126"/>
      <c r="I837" s="126"/>
      <c r="J837" s="126"/>
      <c r="K837" s="126"/>
      <c r="L837" s="126"/>
      <c r="M837" s="126"/>
    </row>
    <row r="838" spans="2:13">
      <c r="B838" s="126"/>
      <c r="C838" s="126"/>
      <c r="D838" s="126"/>
      <c r="E838" s="126"/>
      <c r="F838" s="126"/>
      <c r="G838" s="126"/>
      <c r="H838" s="126"/>
      <c r="I838" s="126"/>
      <c r="J838" s="126"/>
      <c r="K838" s="126"/>
      <c r="L838" s="126"/>
      <c r="M838" s="126"/>
    </row>
    <row r="839" spans="2:13">
      <c r="B839" s="126"/>
      <c r="C839" s="126"/>
      <c r="D839" s="126"/>
      <c r="E839" s="126"/>
      <c r="F839" s="126"/>
      <c r="G839" s="126"/>
      <c r="H839" s="126"/>
      <c r="I839" s="126"/>
      <c r="J839" s="126"/>
      <c r="K839" s="126"/>
      <c r="L839" s="126"/>
      <c r="M839" s="126"/>
    </row>
    <row r="840" spans="2:13">
      <c r="B840" s="126"/>
      <c r="C840" s="126"/>
      <c r="D840" s="126"/>
      <c r="E840" s="126"/>
      <c r="F840" s="126"/>
      <c r="G840" s="126"/>
      <c r="H840" s="126"/>
      <c r="I840" s="126"/>
      <c r="J840" s="126"/>
      <c r="K840" s="126"/>
      <c r="L840" s="126"/>
      <c r="M840" s="126"/>
    </row>
    <row r="841" spans="2:13">
      <c r="B841" s="126"/>
      <c r="C841" s="126"/>
      <c r="D841" s="126"/>
      <c r="E841" s="126"/>
      <c r="F841" s="126"/>
      <c r="G841" s="126"/>
      <c r="H841" s="126"/>
      <c r="I841" s="126"/>
      <c r="J841" s="126"/>
      <c r="K841" s="126"/>
      <c r="L841" s="126"/>
      <c r="M841" s="126"/>
    </row>
    <row r="842" spans="2:13">
      <c r="B842" s="126"/>
      <c r="C842" s="126"/>
      <c r="D842" s="126"/>
      <c r="E842" s="126"/>
      <c r="F842" s="126"/>
      <c r="G842" s="126"/>
      <c r="H842" s="126"/>
      <c r="I842" s="126"/>
      <c r="J842" s="126"/>
      <c r="K842" s="126"/>
      <c r="L842" s="126"/>
      <c r="M842" s="126"/>
    </row>
    <row r="843" spans="2:13">
      <c r="B843" s="126"/>
      <c r="C843" s="126"/>
      <c r="D843" s="126"/>
      <c r="E843" s="126"/>
      <c r="F843" s="126"/>
      <c r="G843" s="126"/>
      <c r="H843" s="126"/>
      <c r="I843" s="126"/>
      <c r="J843" s="126"/>
      <c r="K843" s="126"/>
      <c r="L843" s="126"/>
      <c r="M843" s="126"/>
    </row>
    <row r="844" spans="2:13">
      <c r="B844" s="126"/>
      <c r="C844" s="126"/>
      <c r="D844" s="126"/>
      <c r="E844" s="126"/>
      <c r="F844" s="126"/>
      <c r="G844" s="126"/>
      <c r="H844" s="126"/>
      <c r="I844" s="126"/>
      <c r="J844" s="126"/>
      <c r="K844" s="126"/>
      <c r="L844" s="126"/>
      <c r="M844" s="126"/>
    </row>
    <row r="845" spans="2:13">
      <c r="B845" s="126"/>
      <c r="C845" s="126"/>
      <c r="D845" s="126"/>
      <c r="E845" s="126"/>
      <c r="F845" s="126"/>
      <c r="G845" s="126"/>
      <c r="H845" s="126"/>
      <c r="I845" s="126"/>
      <c r="J845" s="126"/>
      <c r="K845" s="126"/>
      <c r="L845" s="126"/>
      <c r="M845" s="126"/>
    </row>
    <row r="846" spans="2:13">
      <c r="B846" s="126"/>
      <c r="C846" s="126"/>
      <c r="D846" s="126"/>
      <c r="E846" s="126"/>
      <c r="F846" s="126"/>
      <c r="G846" s="126"/>
      <c r="H846" s="126"/>
      <c r="I846" s="126"/>
      <c r="J846" s="126"/>
      <c r="K846" s="126"/>
      <c r="L846" s="126"/>
      <c r="M846" s="126"/>
    </row>
    <row r="847" spans="2:13">
      <c r="B847" s="126"/>
      <c r="C847" s="126"/>
      <c r="D847" s="126"/>
      <c r="E847" s="126"/>
      <c r="F847" s="126"/>
      <c r="G847" s="126"/>
      <c r="H847" s="126"/>
      <c r="I847" s="126"/>
      <c r="J847" s="126"/>
      <c r="K847" s="126"/>
      <c r="L847" s="126"/>
      <c r="M847" s="126"/>
    </row>
    <row r="848" spans="2:13">
      <c r="B848" s="126"/>
      <c r="C848" s="126"/>
      <c r="D848" s="126"/>
      <c r="E848" s="126"/>
      <c r="F848" s="126"/>
      <c r="G848" s="126"/>
      <c r="H848" s="126"/>
      <c r="I848" s="126"/>
      <c r="J848" s="126"/>
      <c r="K848" s="126"/>
      <c r="L848" s="126"/>
      <c r="M848" s="126"/>
    </row>
    <row r="849" spans="2:13">
      <c r="B849" s="126"/>
      <c r="C849" s="126"/>
      <c r="D849" s="126"/>
      <c r="E849" s="126"/>
      <c r="F849" s="126"/>
      <c r="G849" s="126"/>
      <c r="H849" s="126"/>
      <c r="I849" s="126"/>
      <c r="J849" s="126"/>
      <c r="K849" s="126"/>
      <c r="L849" s="126"/>
      <c r="M849" s="126"/>
    </row>
    <row r="850" spans="2:13">
      <c r="B850" s="126"/>
      <c r="C850" s="126"/>
      <c r="D850" s="126"/>
      <c r="E850" s="126"/>
      <c r="F850" s="126"/>
      <c r="G850" s="126"/>
      <c r="H850" s="126"/>
      <c r="I850" s="126"/>
      <c r="J850" s="126"/>
      <c r="K850" s="126"/>
      <c r="L850" s="126"/>
      <c r="M850" s="126"/>
    </row>
    <row r="851" spans="2:13">
      <c r="B851" s="126"/>
      <c r="C851" s="126"/>
      <c r="D851" s="126"/>
      <c r="E851" s="126"/>
      <c r="F851" s="126"/>
      <c r="G851" s="126"/>
      <c r="H851" s="126"/>
      <c r="I851" s="126"/>
      <c r="J851" s="126"/>
      <c r="K851" s="126"/>
      <c r="L851" s="126"/>
      <c r="M851" s="126"/>
    </row>
    <row r="852" spans="2:13">
      <c r="B852" s="126"/>
      <c r="C852" s="126"/>
      <c r="D852" s="126"/>
      <c r="E852" s="126"/>
      <c r="F852" s="126"/>
      <c r="G852" s="126"/>
      <c r="H852" s="126"/>
      <c r="I852" s="126"/>
      <c r="J852" s="126"/>
      <c r="K852" s="126"/>
      <c r="L852" s="126"/>
      <c r="M852" s="126"/>
    </row>
    <row r="853" spans="2:13">
      <c r="B853" s="126"/>
      <c r="C853" s="126"/>
      <c r="D853" s="126"/>
      <c r="E853" s="126"/>
      <c r="F853" s="126"/>
      <c r="G853" s="126"/>
      <c r="H853" s="126"/>
      <c r="I853" s="126"/>
      <c r="J853" s="126"/>
      <c r="K853" s="126"/>
      <c r="L853" s="126"/>
      <c r="M853" s="126"/>
    </row>
    <row r="854" spans="2:13">
      <c r="B854" s="126"/>
      <c r="C854" s="126"/>
      <c r="D854" s="126"/>
      <c r="E854" s="126"/>
      <c r="F854" s="126"/>
      <c r="G854" s="126"/>
      <c r="H854" s="126"/>
      <c r="I854" s="126"/>
      <c r="J854" s="126"/>
      <c r="K854" s="126"/>
      <c r="L854" s="126"/>
      <c r="M854" s="126"/>
    </row>
    <row r="855" spans="2:13">
      <c r="B855" s="126"/>
      <c r="C855" s="126"/>
      <c r="D855" s="126"/>
      <c r="E855" s="126"/>
      <c r="F855" s="126"/>
      <c r="G855" s="126"/>
      <c r="H855" s="126"/>
      <c r="I855" s="126"/>
      <c r="J855" s="126"/>
      <c r="K855" s="126"/>
      <c r="L855" s="126"/>
      <c r="M855" s="126"/>
    </row>
    <row r="856" spans="2:13">
      <c r="B856" s="126"/>
      <c r="C856" s="126"/>
      <c r="D856" s="126"/>
      <c r="E856" s="126"/>
      <c r="F856" s="126"/>
      <c r="G856" s="126"/>
      <c r="H856" s="126"/>
      <c r="I856" s="126"/>
      <c r="J856" s="126"/>
      <c r="K856" s="126"/>
      <c r="L856" s="126"/>
      <c r="M856" s="126"/>
    </row>
    <row r="857" spans="2:13">
      <c r="B857" s="126"/>
      <c r="C857" s="126"/>
      <c r="D857" s="126"/>
      <c r="E857" s="126"/>
      <c r="F857" s="126"/>
      <c r="G857" s="126"/>
      <c r="H857" s="126"/>
      <c r="I857" s="126"/>
      <c r="J857" s="126"/>
      <c r="K857" s="126"/>
      <c r="L857" s="126"/>
      <c r="M857" s="126"/>
    </row>
    <row r="858" spans="2:13">
      <c r="B858" s="126"/>
      <c r="C858" s="126"/>
      <c r="D858" s="126"/>
      <c r="E858" s="126"/>
      <c r="F858" s="126"/>
      <c r="G858" s="126"/>
      <c r="H858" s="126"/>
      <c r="I858" s="126"/>
      <c r="J858" s="126"/>
      <c r="K858" s="126"/>
      <c r="L858" s="126"/>
      <c r="M858" s="126"/>
    </row>
    <row r="859" spans="2:13">
      <c r="B859" s="126"/>
      <c r="C859" s="126"/>
      <c r="D859" s="126"/>
      <c r="E859" s="126"/>
      <c r="F859" s="126"/>
      <c r="G859" s="126"/>
      <c r="H859" s="126"/>
      <c r="I859" s="126"/>
      <c r="J859" s="126"/>
      <c r="K859" s="126"/>
      <c r="L859" s="126"/>
      <c r="M859" s="126"/>
    </row>
    <row r="860" spans="2:13">
      <c r="B860" s="126"/>
      <c r="C860" s="126"/>
      <c r="D860" s="126"/>
      <c r="E860" s="126"/>
      <c r="F860" s="126"/>
      <c r="G860" s="126"/>
      <c r="H860" s="126"/>
      <c r="I860" s="126"/>
      <c r="J860" s="126"/>
      <c r="K860" s="126"/>
      <c r="L860" s="126"/>
      <c r="M860" s="126"/>
    </row>
    <row r="861" spans="2:13">
      <c r="B861" s="126"/>
      <c r="C861" s="126"/>
      <c r="D861" s="126"/>
      <c r="E861" s="126"/>
      <c r="F861" s="126"/>
      <c r="G861" s="126"/>
      <c r="H861" s="126"/>
      <c r="I861" s="126"/>
      <c r="J861" s="126"/>
      <c r="K861" s="126"/>
      <c r="L861" s="126"/>
      <c r="M861" s="126"/>
    </row>
    <row r="862" spans="2:13">
      <c r="B862" s="126"/>
      <c r="C862" s="126"/>
      <c r="D862" s="126"/>
      <c r="E862" s="126"/>
      <c r="F862" s="126"/>
      <c r="G862" s="126"/>
      <c r="H862" s="126"/>
      <c r="I862" s="126"/>
      <c r="J862" s="126"/>
      <c r="K862" s="126"/>
      <c r="L862" s="126"/>
      <c r="M862" s="126"/>
    </row>
    <row r="863" spans="2:13">
      <c r="B863" s="126"/>
      <c r="C863" s="126"/>
      <c r="D863" s="126"/>
      <c r="E863" s="126"/>
      <c r="F863" s="126"/>
      <c r="G863" s="126"/>
      <c r="H863" s="126"/>
      <c r="I863" s="126"/>
      <c r="J863" s="126"/>
      <c r="K863" s="126"/>
      <c r="L863" s="126"/>
      <c r="M863" s="126"/>
    </row>
    <row r="864" spans="2:13">
      <c r="B864" s="126"/>
      <c r="C864" s="126"/>
      <c r="D864" s="126"/>
      <c r="E864" s="126"/>
      <c r="F864" s="126"/>
      <c r="G864" s="126"/>
      <c r="H864" s="126"/>
      <c r="I864" s="126"/>
      <c r="J864" s="126"/>
      <c r="K864" s="126"/>
      <c r="L864" s="126"/>
      <c r="M864" s="126"/>
    </row>
    <row r="865" spans="2:13">
      <c r="B865" s="126"/>
      <c r="C865" s="126"/>
      <c r="D865" s="126"/>
      <c r="E865" s="126"/>
      <c r="F865" s="126"/>
      <c r="G865" s="126"/>
      <c r="H865" s="126"/>
      <c r="I865" s="126"/>
      <c r="J865" s="126"/>
      <c r="K865" s="126"/>
      <c r="L865" s="126"/>
      <c r="M865" s="126"/>
    </row>
    <row r="866" spans="2:13">
      <c r="B866" s="126"/>
      <c r="C866" s="126"/>
      <c r="D866" s="126"/>
      <c r="E866" s="126"/>
      <c r="F866" s="126"/>
      <c r="G866" s="126"/>
      <c r="H866" s="126"/>
      <c r="I866" s="126"/>
      <c r="J866" s="126"/>
      <c r="K866" s="126"/>
      <c r="L866" s="126"/>
      <c r="M866" s="126"/>
    </row>
    <row r="867" spans="2:13">
      <c r="B867" s="126"/>
      <c r="C867" s="126"/>
      <c r="D867" s="126"/>
      <c r="E867" s="126"/>
      <c r="F867" s="126"/>
      <c r="G867" s="126"/>
      <c r="H867" s="126"/>
      <c r="I867" s="126"/>
      <c r="J867" s="126"/>
      <c r="K867" s="126"/>
      <c r="L867" s="126"/>
      <c r="M867" s="126"/>
    </row>
    <row r="868" spans="2:13">
      <c r="B868" s="126"/>
      <c r="C868" s="126"/>
      <c r="D868" s="126"/>
      <c r="E868" s="126"/>
      <c r="F868" s="126"/>
      <c r="G868" s="126"/>
      <c r="H868" s="126"/>
      <c r="I868" s="126"/>
      <c r="J868" s="126"/>
      <c r="K868" s="126"/>
      <c r="L868" s="126"/>
      <c r="M868" s="126"/>
    </row>
    <row r="869" spans="2:13">
      <c r="B869" s="126"/>
      <c r="C869" s="126"/>
      <c r="D869" s="126"/>
      <c r="E869" s="126"/>
      <c r="F869" s="126"/>
      <c r="G869" s="126"/>
      <c r="H869" s="126"/>
      <c r="I869" s="126"/>
      <c r="J869" s="126"/>
      <c r="K869" s="126"/>
      <c r="L869" s="126"/>
      <c r="M869" s="126"/>
    </row>
    <row r="870" spans="2:13">
      <c r="B870" s="126"/>
      <c r="C870" s="126"/>
      <c r="D870" s="126"/>
      <c r="E870" s="126"/>
      <c r="F870" s="126"/>
      <c r="G870" s="126"/>
      <c r="H870" s="126"/>
      <c r="I870" s="126"/>
      <c r="J870" s="126"/>
      <c r="K870" s="126"/>
      <c r="L870" s="126"/>
      <c r="M870" s="126"/>
    </row>
    <row r="871" spans="2:13">
      <c r="B871" s="126"/>
      <c r="C871" s="126"/>
      <c r="D871" s="126"/>
      <c r="E871" s="126"/>
      <c r="F871" s="126"/>
      <c r="G871" s="126"/>
      <c r="H871" s="126"/>
      <c r="I871" s="126"/>
      <c r="J871" s="126"/>
      <c r="K871" s="126"/>
      <c r="L871" s="126"/>
      <c r="M871" s="126"/>
    </row>
    <row r="872" spans="2:13">
      <c r="B872" s="126"/>
      <c r="C872" s="126"/>
      <c r="D872" s="126"/>
      <c r="E872" s="126"/>
      <c r="F872" s="126"/>
      <c r="G872" s="126"/>
      <c r="H872" s="126"/>
      <c r="I872" s="126"/>
      <c r="J872" s="126"/>
      <c r="K872" s="126"/>
      <c r="L872" s="126"/>
      <c r="M872" s="126"/>
    </row>
    <row r="873" spans="2:13">
      <c r="B873" s="126"/>
      <c r="C873" s="126"/>
      <c r="D873" s="126"/>
      <c r="E873" s="126"/>
      <c r="F873" s="126"/>
      <c r="G873" s="126"/>
      <c r="H873" s="126"/>
      <c r="I873" s="126"/>
      <c r="J873" s="126"/>
      <c r="K873" s="126"/>
      <c r="L873" s="126"/>
      <c r="M873" s="126"/>
    </row>
    <row r="874" spans="2:13">
      <c r="B874" s="126"/>
      <c r="C874" s="126"/>
      <c r="D874" s="126"/>
      <c r="E874" s="126"/>
      <c r="F874" s="126"/>
      <c r="G874" s="126"/>
      <c r="H874" s="126"/>
      <c r="I874" s="126"/>
      <c r="J874" s="126"/>
      <c r="K874" s="126"/>
      <c r="L874" s="126"/>
      <c r="M874" s="126"/>
    </row>
    <row r="875" spans="2:13">
      <c r="B875" s="126"/>
      <c r="C875" s="126"/>
      <c r="D875" s="126"/>
      <c r="E875" s="126"/>
      <c r="F875" s="126"/>
      <c r="G875" s="126"/>
      <c r="H875" s="126"/>
      <c r="I875" s="126"/>
      <c r="J875" s="126"/>
      <c r="K875" s="126"/>
      <c r="L875" s="126"/>
      <c r="M875" s="126"/>
    </row>
    <row r="876" spans="2:13">
      <c r="B876" s="126"/>
      <c r="C876" s="126"/>
      <c r="D876" s="126"/>
      <c r="E876" s="126"/>
      <c r="F876" s="126"/>
      <c r="G876" s="126"/>
      <c r="H876" s="126"/>
      <c r="I876" s="126"/>
      <c r="J876" s="126"/>
      <c r="K876" s="126"/>
      <c r="L876" s="126"/>
      <c r="M876" s="126"/>
    </row>
    <row r="877" spans="2:13">
      <c r="B877" s="126"/>
      <c r="C877" s="126"/>
      <c r="D877" s="126"/>
      <c r="E877" s="126"/>
      <c r="F877" s="126"/>
      <c r="G877" s="126"/>
      <c r="H877" s="126"/>
      <c r="I877" s="126"/>
      <c r="J877" s="126"/>
      <c r="K877" s="126"/>
      <c r="L877" s="126"/>
      <c r="M877" s="126"/>
    </row>
    <row r="878" spans="2:13">
      <c r="B878" s="126"/>
      <c r="C878" s="126"/>
      <c r="D878" s="126"/>
      <c r="E878" s="126"/>
      <c r="F878" s="126"/>
      <c r="G878" s="126"/>
      <c r="H878" s="126"/>
      <c r="I878" s="126"/>
      <c r="J878" s="126"/>
      <c r="K878" s="126"/>
      <c r="L878" s="126"/>
      <c r="M878" s="126"/>
    </row>
    <row r="879" spans="2:13">
      <c r="B879" s="126"/>
      <c r="C879" s="126"/>
      <c r="D879" s="126"/>
      <c r="E879" s="126"/>
      <c r="F879" s="126"/>
      <c r="G879" s="126"/>
      <c r="H879" s="126"/>
      <c r="I879" s="126"/>
      <c r="J879" s="126"/>
      <c r="K879" s="126"/>
      <c r="L879" s="126"/>
      <c r="M879" s="126"/>
    </row>
    <row r="880" spans="2:13">
      <c r="B880" s="126"/>
      <c r="C880" s="126"/>
      <c r="D880" s="126"/>
      <c r="E880" s="126"/>
      <c r="F880" s="126"/>
      <c r="G880" s="126"/>
      <c r="H880" s="126"/>
      <c r="I880" s="126"/>
      <c r="J880" s="126"/>
      <c r="K880" s="126"/>
      <c r="L880" s="126"/>
      <c r="M880" s="126"/>
    </row>
    <row r="881" spans="2:13">
      <c r="B881" s="126"/>
      <c r="C881" s="126"/>
      <c r="D881" s="126"/>
      <c r="E881" s="126"/>
      <c r="F881" s="126"/>
      <c r="G881" s="126"/>
      <c r="H881" s="126"/>
      <c r="I881" s="126"/>
      <c r="J881" s="126"/>
      <c r="K881" s="126"/>
      <c r="L881" s="126"/>
      <c r="M881" s="126"/>
    </row>
    <row r="882" spans="2:13">
      <c r="B882" s="126"/>
      <c r="C882" s="126"/>
      <c r="D882" s="126"/>
      <c r="E882" s="126"/>
      <c r="F882" s="126"/>
      <c r="G882" s="126"/>
      <c r="H882" s="126"/>
      <c r="I882" s="126"/>
      <c r="J882" s="126"/>
      <c r="K882" s="126"/>
      <c r="L882" s="126"/>
      <c r="M882" s="126"/>
    </row>
    <row r="883" spans="2:13">
      <c r="B883" s="126"/>
      <c r="C883" s="126"/>
      <c r="D883" s="126"/>
      <c r="E883" s="126"/>
      <c r="F883" s="126"/>
      <c r="G883" s="126"/>
      <c r="H883" s="126"/>
      <c r="I883" s="126"/>
      <c r="J883" s="126"/>
      <c r="K883" s="126"/>
      <c r="L883" s="126"/>
      <c r="M883" s="126"/>
    </row>
    <row r="884" spans="2:13">
      <c r="B884" s="126"/>
      <c r="C884" s="126"/>
      <c r="D884" s="126"/>
      <c r="E884" s="126"/>
      <c r="F884" s="126"/>
      <c r="G884" s="126"/>
      <c r="H884" s="126"/>
      <c r="I884" s="126"/>
      <c r="J884" s="126"/>
      <c r="K884" s="126"/>
      <c r="L884" s="126"/>
      <c r="M884" s="126"/>
    </row>
    <row r="885" spans="2:13">
      <c r="B885" s="126"/>
      <c r="C885" s="126"/>
      <c r="D885" s="126"/>
      <c r="E885" s="126"/>
      <c r="F885" s="126"/>
      <c r="G885" s="126"/>
      <c r="H885" s="126"/>
      <c r="I885" s="126"/>
      <c r="J885" s="126"/>
      <c r="K885" s="126"/>
      <c r="L885" s="126"/>
      <c r="M885" s="126"/>
    </row>
    <row r="886" spans="2:13">
      <c r="B886" s="126"/>
      <c r="C886" s="126"/>
      <c r="D886" s="126"/>
      <c r="E886" s="126"/>
      <c r="F886" s="126"/>
      <c r="G886" s="126"/>
      <c r="H886" s="126"/>
      <c r="I886" s="126"/>
      <c r="J886" s="126"/>
      <c r="K886" s="126"/>
      <c r="L886" s="126"/>
      <c r="M886" s="126"/>
    </row>
    <row r="887" spans="2:13">
      <c r="B887" s="126"/>
      <c r="C887" s="126"/>
      <c r="D887" s="126"/>
      <c r="E887" s="126"/>
      <c r="F887" s="126"/>
      <c r="G887" s="126"/>
      <c r="H887" s="126"/>
      <c r="I887" s="126"/>
      <c r="J887" s="126"/>
      <c r="K887" s="126"/>
      <c r="L887" s="126"/>
      <c r="M887" s="126"/>
    </row>
    <row r="888" spans="2:13">
      <c r="B888" s="126"/>
      <c r="C888" s="126"/>
      <c r="D888" s="126"/>
      <c r="E888" s="126"/>
      <c r="F888" s="126"/>
      <c r="G888" s="126"/>
      <c r="H888" s="126"/>
      <c r="I888" s="126"/>
      <c r="J888" s="126"/>
      <c r="K888" s="126"/>
      <c r="L888" s="126"/>
      <c r="M888" s="126"/>
    </row>
    <row r="889" spans="2:13">
      <c r="B889" s="126"/>
      <c r="C889" s="126"/>
      <c r="D889" s="126"/>
      <c r="E889" s="126"/>
      <c r="F889" s="126"/>
      <c r="G889" s="126"/>
      <c r="H889" s="126"/>
      <c r="I889" s="126"/>
      <c r="J889" s="126"/>
      <c r="K889" s="126"/>
      <c r="L889" s="126"/>
      <c r="M889" s="126"/>
    </row>
    <row r="890" spans="2:13">
      <c r="B890" s="126"/>
      <c r="C890" s="126"/>
      <c r="D890" s="126"/>
      <c r="E890" s="126"/>
      <c r="F890" s="126"/>
      <c r="G890" s="126"/>
      <c r="H890" s="126"/>
      <c r="I890" s="126"/>
      <c r="J890" s="126"/>
      <c r="K890" s="126"/>
      <c r="L890" s="126"/>
      <c r="M890" s="126"/>
    </row>
    <row r="891" spans="2:13">
      <c r="B891" s="126"/>
      <c r="C891" s="126"/>
      <c r="D891" s="126"/>
      <c r="E891" s="126"/>
      <c r="F891" s="126"/>
      <c r="G891" s="126"/>
      <c r="H891" s="126"/>
      <c r="I891" s="126"/>
      <c r="J891" s="126"/>
      <c r="K891" s="126"/>
      <c r="L891" s="126"/>
      <c r="M891" s="126"/>
    </row>
    <row r="892" spans="2:13">
      <c r="B892" s="126"/>
      <c r="C892" s="126"/>
      <c r="D892" s="126"/>
      <c r="E892" s="126"/>
      <c r="F892" s="126"/>
      <c r="G892" s="126"/>
      <c r="H892" s="126"/>
      <c r="I892" s="126"/>
      <c r="J892" s="126"/>
      <c r="K892" s="126"/>
      <c r="L892" s="126"/>
      <c r="M892" s="126"/>
    </row>
    <row r="893" spans="2:13">
      <c r="B893" s="126"/>
      <c r="C893" s="126"/>
      <c r="D893" s="126"/>
      <c r="E893" s="126"/>
      <c r="F893" s="126"/>
      <c r="G893" s="126"/>
      <c r="H893" s="126"/>
      <c r="I893" s="126"/>
      <c r="J893" s="126"/>
      <c r="K893" s="126"/>
      <c r="L893" s="126"/>
      <c r="M893" s="126"/>
    </row>
    <row r="894" spans="2:13">
      <c r="B894" s="126"/>
      <c r="C894" s="126"/>
      <c r="D894" s="126"/>
      <c r="E894" s="126"/>
      <c r="F894" s="126"/>
      <c r="G894" s="126"/>
      <c r="H894" s="126"/>
      <c r="I894" s="126"/>
      <c r="J894" s="126"/>
      <c r="K894" s="126"/>
      <c r="L894" s="126"/>
      <c r="M894" s="126"/>
    </row>
    <row r="895" spans="2:13">
      <c r="B895" s="126"/>
      <c r="C895" s="126"/>
      <c r="D895" s="126"/>
      <c r="E895" s="126"/>
      <c r="F895" s="126"/>
      <c r="G895" s="126"/>
      <c r="H895" s="126"/>
      <c r="I895" s="126"/>
      <c r="J895" s="126"/>
      <c r="K895" s="126"/>
      <c r="L895" s="126"/>
      <c r="M895" s="126"/>
    </row>
    <row r="896" spans="2:13">
      <c r="B896" s="126"/>
      <c r="C896" s="126"/>
      <c r="D896" s="126"/>
      <c r="E896" s="126"/>
      <c r="F896" s="126"/>
      <c r="G896" s="126"/>
      <c r="H896" s="126"/>
      <c r="I896" s="126"/>
      <c r="J896" s="126"/>
      <c r="K896" s="126"/>
      <c r="L896" s="126"/>
      <c r="M896" s="126"/>
    </row>
    <row r="897" spans="2:13">
      <c r="B897" s="126"/>
      <c r="C897" s="126"/>
      <c r="D897" s="126"/>
      <c r="E897" s="126"/>
      <c r="F897" s="126"/>
      <c r="G897" s="126"/>
      <c r="H897" s="126"/>
      <c r="I897" s="126"/>
      <c r="J897" s="126"/>
      <c r="K897" s="126"/>
      <c r="L897" s="126"/>
      <c r="M897" s="126"/>
    </row>
    <row r="898" spans="2:13">
      <c r="B898" s="126"/>
      <c r="C898" s="126"/>
      <c r="D898" s="126"/>
      <c r="E898" s="126"/>
      <c r="F898" s="126"/>
      <c r="G898" s="126"/>
      <c r="H898" s="126"/>
      <c r="I898" s="126"/>
      <c r="J898" s="126"/>
      <c r="K898" s="126"/>
      <c r="L898" s="126"/>
      <c r="M898" s="126"/>
    </row>
    <row r="899" spans="2:13">
      <c r="B899" s="126"/>
      <c r="C899" s="126"/>
      <c r="D899" s="126"/>
      <c r="E899" s="126"/>
      <c r="F899" s="126"/>
      <c r="G899" s="126"/>
      <c r="H899" s="126"/>
      <c r="I899" s="126"/>
      <c r="J899" s="126"/>
      <c r="K899" s="126"/>
      <c r="L899" s="126"/>
      <c r="M899" s="126"/>
    </row>
    <row r="900" spans="2:13">
      <c r="B900" s="126"/>
      <c r="C900" s="126"/>
      <c r="D900" s="126"/>
      <c r="E900" s="126"/>
      <c r="F900" s="126"/>
      <c r="G900" s="126"/>
      <c r="H900" s="126"/>
      <c r="I900" s="126"/>
      <c r="J900" s="126"/>
      <c r="K900" s="126"/>
      <c r="L900" s="126"/>
      <c r="M900" s="126"/>
    </row>
    <row r="901" spans="2:13">
      <c r="B901" s="126"/>
      <c r="C901" s="126"/>
      <c r="D901" s="126"/>
      <c r="E901" s="126"/>
      <c r="F901" s="126"/>
      <c r="G901" s="126"/>
      <c r="H901" s="126"/>
      <c r="I901" s="126"/>
      <c r="J901" s="126"/>
      <c r="K901" s="126"/>
      <c r="L901" s="126"/>
      <c r="M901" s="126"/>
    </row>
    <row r="902" spans="2:13">
      <c r="B902" s="126"/>
      <c r="C902" s="126"/>
      <c r="D902" s="126"/>
      <c r="E902" s="126"/>
      <c r="F902" s="126"/>
      <c r="G902" s="126"/>
      <c r="H902" s="126"/>
      <c r="I902" s="126"/>
      <c r="J902" s="126"/>
      <c r="K902" s="126"/>
      <c r="L902" s="126"/>
      <c r="M902" s="126"/>
    </row>
    <row r="903" spans="2:13">
      <c r="B903" s="126"/>
      <c r="C903" s="126"/>
      <c r="D903" s="126"/>
      <c r="E903" s="126"/>
      <c r="F903" s="126"/>
      <c r="G903" s="126"/>
      <c r="H903" s="126"/>
      <c r="I903" s="126"/>
      <c r="J903" s="126"/>
      <c r="K903" s="126"/>
      <c r="L903" s="126"/>
      <c r="M903" s="126"/>
    </row>
    <row r="904" spans="2:13">
      <c r="B904" s="126"/>
      <c r="C904" s="126"/>
      <c r="D904" s="126"/>
      <c r="E904" s="126"/>
      <c r="F904" s="126"/>
      <c r="G904" s="126"/>
      <c r="H904" s="126"/>
      <c r="I904" s="126"/>
      <c r="J904" s="126"/>
      <c r="K904" s="126"/>
      <c r="L904" s="126"/>
      <c r="M904" s="126"/>
    </row>
    <row r="905" spans="2:13">
      <c r="B905" s="126"/>
      <c r="C905" s="126"/>
      <c r="D905" s="126"/>
      <c r="E905" s="126"/>
      <c r="F905" s="126"/>
      <c r="G905" s="126"/>
      <c r="H905" s="126"/>
      <c r="I905" s="126"/>
      <c r="J905" s="126"/>
      <c r="K905" s="126"/>
      <c r="L905" s="126"/>
      <c r="M905" s="126"/>
    </row>
    <row r="906" spans="2:13">
      <c r="B906" s="126"/>
      <c r="C906" s="126"/>
      <c r="D906" s="126"/>
      <c r="E906" s="126"/>
      <c r="F906" s="126"/>
      <c r="G906" s="126"/>
      <c r="H906" s="126"/>
      <c r="I906" s="126"/>
      <c r="J906" s="126"/>
      <c r="K906" s="126"/>
      <c r="L906" s="126"/>
      <c r="M906" s="126"/>
    </row>
    <row r="907" spans="2:13">
      <c r="B907" s="126"/>
      <c r="C907" s="126"/>
      <c r="D907" s="126"/>
      <c r="E907" s="126"/>
      <c r="F907" s="126"/>
      <c r="G907" s="126"/>
      <c r="H907" s="126"/>
      <c r="I907" s="126"/>
      <c r="J907" s="126"/>
      <c r="K907" s="126"/>
      <c r="L907" s="126"/>
      <c r="M907" s="126"/>
    </row>
    <row r="908" spans="2:13">
      <c r="B908" s="126"/>
      <c r="C908" s="126"/>
      <c r="D908" s="126"/>
      <c r="E908" s="126"/>
      <c r="F908" s="126"/>
      <c r="G908" s="126"/>
      <c r="H908" s="126"/>
      <c r="I908" s="126"/>
      <c r="J908" s="126"/>
      <c r="K908" s="126"/>
      <c r="L908" s="126"/>
      <c r="M908" s="126"/>
    </row>
    <row r="909" spans="2:13">
      <c r="B909" s="126"/>
      <c r="C909" s="126"/>
      <c r="D909" s="126"/>
      <c r="E909" s="126"/>
      <c r="F909" s="126"/>
      <c r="G909" s="126"/>
      <c r="H909" s="126"/>
      <c r="I909" s="126"/>
      <c r="J909" s="126"/>
      <c r="K909" s="126"/>
      <c r="L909" s="126"/>
      <c r="M909" s="126"/>
    </row>
    <row r="910" spans="2:13">
      <c r="B910" s="126"/>
      <c r="C910" s="126"/>
      <c r="D910" s="126"/>
      <c r="E910" s="126"/>
      <c r="F910" s="126"/>
      <c r="G910" s="126"/>
      <c r="H910" s="126"/>
      <c r="I910" s="126"/>
      <c r="J910" s="126"/>
      <c r="K910" s="126"/>
      <c r="L910" s="126"/>
      <c r="M910" s="126"/>
    </row>
    <row r="911" spans="2:13">
      <c r="B911" s="126"/>
      <c r="C911" s="126"/>
      <c r="D911" s="126"/>
      <c r="E911" s="126"/>
      <c r="F911" s="126"/>
      <c r="G911" s="126"/>
      <c r="H911" s="126"/>
      <c r="I911" s="126"/>
      <c r="J911" s="126"/>
      <c r="K911" s="126"/>
      <c r="L911" s="126"/>
      <c r="M911" s="126"/>
    </row>
    <row r="912" spans="2:13">
      <c r="B912" s="126"/>
      <c r="C912" s="126"/>
      <c r="D912" s="126"/>
      <c r="E912" s="126"/>
      <c r="F912" s="126"/>
      <c r="G912" s="126"/>
      <c r="H912" s="126"/>
      <c r="I912" s="126"/>
      <c r="J912" s="126"/>
      <c r="K912" s="126"/>
      <c r="L912" s="126"/>
      <c r="M912" s="126"/>
    </row>
    <row r="913" spans="2:13">
      <c r="B913" s="126"/>
      <c r="C913" s="126"/>
      <c r="D913" s="126"/>
      <c r="E913" s="126"/>
      <c r="F913" s="126"/>
      <c r="G913" s="126"/>
      <c r="H913" s="126"/>
      <c r="I913" s="126"/>
      <c r="J913" s="126"/>
      <c r="K913" s="126"/>
      <c r="L913" s="126"/>
      <c r="M913" s="126"/>
    </row>
    <row r="914" spans="2:13">
      <c r="B914" s="126"/>
      <c r="C914" s="126"/>
      <c r="D914" s="126"/>
      <c r="E914" s="126"/>
      <c r="F914" s="126"/>
      <c r="G914" s="126"/>
      <c r="H914" s="126"/>
      <c r="I914" s="126"/>
      <c r="J914" s="126"/>
      <c r="K914" s="126"/>
      <c r="L914" s="126"/>
      <c r="M914" s="126"/>
    </row>
    <row r="915" spans="2:13">
      <c r="B915" s="126"/>
      <c r="C915" s="126"/>
      <c r="D915" s="126"/>
      <c r="E915" s="126"/>
      <c r="F915" s="126"/>
      <c r="G915" s="126"/>
      <c r="H915" s="126"/>
      <c r="I915" s="126"/>
      <c r="J915" s="126"/>
      <c r="K915" s="126"/>
      <c r="L915" s="126"/>
      <c r="M915" s="126"/>
    </row>
    <row r="916" spans="2:13">
      <c r="B916" s="126"/>
      <c r="C916" s="126"/>
      <c r="D916" s="126"/>
      <c r="E916" s="126"/>
      <c r="F916" s="126"/>
      <c r="G916" s="126"/>
      <c r="H916" s="126"/>
      <c r="I916" s="126"/>
      <c r="J916" s="126"/>
      <c r="K916" s="126"/>
      <c r="L916" s="126"/>
      <c r="M916" s="126"/>
    </row>
    <row r="917" spans="2:13">
      <c r="B917" s="126"/>
      <c r="C917" s="126"/>
      <c r="D917" s="126"/>
      <c r="E917" s="126"/>
      <c r="F917" s="126"/>
      <c r="G917" s="126"/>
      <c r="H917" s="126"/>
      <c r="I917" s="126"/>
      <c r="J917" s="126"/>
      <c r="K917" s="126"/>
      <c r="L917" s="126"/>
      <c r="M917" s="126"/>
    </row>
    <row r="918" spans="2:13">
      <c r="B918" s="126"/>
      <c r="C918" s="126"/>
      <c r="D918" s="126"/>
      <c r="E918" s="126"/>
      <c r="F918" s="126"/>
      <c r="G918" s="126"/>
      <c r="H918" s="126"/>
      <c r="I918" s="126"/>
      <c r="J918" s="126"/>
      <c r="K918" s="126"/>
      <c r="L918" s="126"/>
      <c r="M918" s="126"/>
    </row>
    <row r="919" spans="2:13">
      <c r="B919" s="126"/>
      <c r="C919" s="126"/>
      <c r="D919" s="126"/>
      <c r="E919" s="126"/>
      <c r="F919" s="126"/>
      <c r="G919" s="126"/>
      <c r="H919" s="126"/>
      <c r="I919" s="126"/>
      <c r="J919" s="126"/>
      <c r="K919" s="126"/>
      <c r="L919" s="126"/>
      <c r="M919" s="126"/>
    </row>
    <row r="920" spans="2:13">
      <c r="B920" s="126"/>
      <c r="C920" s="126"/>
      <c r="D920" s="126"/>
      <c r="E920" s="126"/>
      <c r="F920" s="126"/>
      <c r="G920" s="126"/>
      <c r="H920" s="126"/>
      <c r="I920" s="126"/>
      <c r="J920" s="126"/>
      <c r="K920" s="126"/>
      <c r="L920" s="126"/>
      <c r="M920" s="126"/>
    </row>
    <row r="921" spans="2:13">
      <c r="B921" s="126"/>
      <c r="C921" s="126"/>
      <c r="D921" s="126"/>
      <c r="E921" s="126"/>
      <c r="F921" s="126"/>
      <c r="G921" s="126"/>
      <c r="H921" s="126"/>
      <c r="I921" s="126"/>
      <c r="J921" s="126"/>
      <c r="K921" s="126"/>
      <c r="L921" s="126"/>
      <c r="M921" s="126"/>
    </row>
    <row r="922" spans="2:13">
      <c r="B922" s="126"/>
      <c r="C922" s="126"/>
      <c r="D922" s="126"/>
      <c r="E922" s="126"/>
      <c r="F922" s="126"/>
      <c r="G922" s="126"/>
      <c r="H922" s="126"/>
      <c r="I922" s="126"/>
      <c r="J922" s="126"/>
      <c r="K922" s="126"/>
      <c r="L922" s="126"/>
      <c r="M922" s="126"/>
    </row>
    <row r="923" spans="2:13">
      <c r="B923" s="126"/>
      <c r="C923" s="126"/>
      <c r="D923" s="126"/>
      <c r="E923" s="126"/>
      <c r="F923" s="126"/>
      <c r="G923" s="126"/>
      <c r="H923" s="126"/>
      <c r="I923" s="126"/>
      <c r="J923" s="126"/>
      <c r="K923" s="126"/>
      <c r="L923" s="126"/>
      <c r="M923" s="126"/>
    </row>
    <row r="924" spans="2:13">
      <c r="B924" s="126"/>
      <c r="C924" s="126"/>
      <c r="D924" s="126"/>
      <c r="E924" s="126"/>
      <c r="F924" s="126"/>
      <c r="G924" s="126"/>
      <c r="H924" s="126"/>
      <c r="I924" s="126"/>
      <c r="J924" s="126"/>
      <c r="K924" s="126"/>
      <c r="L924" s="126"/>
      <c r="M924" s="126"/>
    </row>
    <row r="925" spans="2:13">
      <c r="B925" s="126"/>
      <c r="C925" s="126"/>
      <c r="D925" s="126"/>
      <c r="E925" s="126"/>
      <c r="F925" s="126"/>
      <c r="G925" s="126"/>
      <c r="H925" s="126"/>
      <c r="I925" s="126"/>
      <c r="J925" s="126"/>
      <c r="K925" s="126"/>
      <c r="L925" s="126"/>
      <c r="M925" s="126"/>
    </row>
    <row r="926" spans="2:13">
      <c r="B926" s="126"/>
      <c r="C926" s="126"/>
      <c r="D926" s="126"/>
      <c r="E926" s="126"/>
      <c r="F926" s="126"/>
      <c r="G926" s="126"/>
      <c r="H926" s="126"/>
      <c r="I926" s="126"/>
      <c r="J926" s="126"/>
      <c r="K926" s="126"/>
      <c r="L926" s="126"/>
      <c r="M926" s="126"/>
    </row>
    <row r="927" spans="2:13">
      <c r="B927" s="126"/>
      <c r="C927" s="126"/>
      <c r="D927" s="126"/>
      <c r="E927" s="126"/>
      <c r="F927" s="126"/>
      <c r="G927" s="126"/>
      <c r="H927" s="126"/>
      <c r="I927" s="126"/>
      <c r="J927" s="126"/>
      <c r="K927" s="126"/>
      <c r="L927" s="126"/>
      <c r="M927" s="126"/>
    </row>
    <row r="928" spans="2:13">
      <c r="B928" s="126"/>
      <c r="C928" s="126"/>
      <c r="D928" s="126"/>
      <c r="E928" s="126"/>
      <c r="F928" s="126"/>
      <c r="G928" s="126"/>
      <c r="H928" s="126"/>
      <c r="I928" s="126"/>
      <c r="J928" s="126"/>
      <c r="K928" s="126"/>
      <c r="L928" s="126"/>
      <c r="M928" s="126"/>
    </row>
    <row r="929" spans="2:13">
      <c r="B929" s="126"/>
      <c r="C929" s="126"/>
      <c r="D929" s="126"/>
      <c r="E929" s="126"/>
      <c r="F929" s="126"/>
      <c r="G929" s="126"/>
      <c r="H929" s="126"/>
      <c r="I929" s="126"/>
      <c r="J929" s="126"/>
      <c r="K929" s="126"/>
      <c r="L929" s="126"/>
      <c r="M929" s="126"/>
    </row>
    <row r="930" spans="2:13">
      <c r="B930" s="126"/>
      <c r="C930" s="126"/>
      <c r="D930" s="126"/>
      <c r="E930" s="126"/>
      <c r="F930" s="126"/>
      <c r="G930" s="126"/>
      <c r="H930" s="126"/>
      <c r="I930" s="126"/>
      <c r="J930" s="126"/>
      <c r="K930" s="126"/>
      <c r="L930" s="126"/>
      <c r="M930" s="126"/>
    </row>
    <row r="931" spans="2:13">
      <c r="B931" s="126"/>
      <c r="C931" s="126"/>
      <c r="D931" s="126"/>
      <c r="E931" s="126"/>
      <c r="F931" s="126"/>
      <c r="G931" s="126"/>
      <c r="H931" s="126"/>
      <c r="I931" s="126"/>
      <c r="J931" s="126"/>
      <c r="K931" s="126"/>
      <c r="L931" s="126"/>
      <c r="M931" s="126"/>
    </row>
    <row r="932" spans="2:13">
      <c r="B932" s="126"/>
      <c r="C932" s="126"/>
      <c r="D932" s="126"/>
      <c r="E932" s="126"/>
      <c r="F932" s="126"/>
      <c r="G932" s="126"/>
      <c r="H932" s="126"/>
      <c r="I932" s="126"/>
      <c r="J932" s="126"/>
      <c r="K932" s="126"/>
      <c r="L932" s="126"/>
      <c r="M932" s="126"/>
    </row>
    <row r="933" spans="2:13">
      <c r="B933" s="126"/>
      <c r="C933" s="126"/>
      <c r="D933" s="126"/>
      <c r="E933" s="126"/>
      <c r="F933" s="126"/>
      <c r="G933" s="126"/>
      <c r="H933" s="126"/>
      <c r="I933" s="126"/>
      <c r="J933" s="126"/>
      <c r="K933" s="126"/>
      <c r="L933" s="126"/>
      <c r="M933" s="126"/>
    </row>
    <row r="934" spans="2:13">
      <c r="B934" s="126"/>
      <c r="C934" s="126"/>
      <c r="D934" s="126"/>
      <c r="E934" s="126"/>
      <c r="F934" s="126"/>
      <c r="G934" s="126"/>
      <c r="H934" s="126"/>
      <c r="I934" s="126"/>
      <c r="J934" s="126"/>
      <c r="K934" s="126"/>
      <c r="L934" s="126"/>
      <c r="M934" s="126"/>
    </row>
    <row r="935" spans="2:13">
      <c r="B935" s="126"/>
      <c r="C935" s="126"/>
      <c r="D935" s="126"/>
      <c r="E935" s="126"/>
      <c r="F935" s="126"/>
      <c r="G935" s="126"/>
      <c r="H935" s="126"/>
      <c r="I935" s="126"/>
      <c r="J935" s="126"/>
      <c r="K935" s="126"/>
      <c r="L935" s="126"/>
      <c r="M935" s="126"/>
    </row>
    <row r="936" spans="2:13">
      <c r="B936" s="126"/>
      <c r="C936" s="126"/>
      <c r="D936" s="126"/>
      <c r="E936" s="126"/>
      <c r="F936" s="126"/>
      <c r="G936" s="126"/>
      <c r="H936" s="126"/>
      <c r="I936" s="126"/>
      <c r="J936" s="126"/>
      <c r="K936" s="126"/>
      <c r="L936" s="126"/>
      <c r="M936" s="126"/>
    </row>
    <row r="937" spans="2:13">
      <c r="B937" s="126"/>
      <c r="C937" s="126"/>
      <c r="D937" s="126"/>
      <c r="E937" s="126"/>
      <c r="F937" s="126"/>
      <c r="G937" s="126"/>
      <c r="H937" s="126"/>
      <c r="I937" s="126"/>
      <c r="J937" s="126"/>
      <c r="K937" s="126"/>
      <c r="L937" s="126"/>
      <c r="M937" s="126"/>
    </row>
    <row r="938" spans="2:13">
      <c r="B938" s="126"/>
      <c r="C938" s="126"/>
      <c r="D938" s="126"/>
      <c r="E938" s="126"/>
      <c r="F938" s="126"/>
      <c r="G938" s="126"/>
      <c r="H938" s="126"/>
      <c r="I938" s="126"/>
      <c r="J938" s="126"/>
      <c r="K938" s="126"/>
      <c r="L938" s="126"/>
      <c r="M938" s="126"/>
    </row>
    <row r="939" spans="2:13">
      <c r="B939" s="126"/>
      <c r="C939" s="126"/>
      <c r="D939" s="126"/>
      <c r="E939" s="126"/>
      <c r="F939" s="126"/>
      <c r="G939" s="126"/>
      <c r="H939" s="126"/>
      <c r="I939" s="126"/>
      <c r="J939" s="126"/>
      <c r="K939" s="126"/>
      <c r="L939" s="126"/>
      <c r="M939" s="126"/>
    </row>
    <row r="940" spans="2:13">
      <c r="B940" s="126"/>
      <c r="C940" s="126"/>
      <c r="D940" s="126"/>
      <c r="E940" s="126"/>
      <c r="F940" s="126"/>
      <c r="G940" s="126"/>
      <c r="H940" s="126"/>
      <c r="I940" s="126"/>
      <c r="J940" s="126"/>
      <c r="K940" s="126"/>
      <c r="L940" s="126"/>
      <c r="M940" s="126"/>
    </row>
    <row r="941" spans="2:13">
      <c r="B941" s="126"/>
      <c r="C941" s="126"/>
      <c r="D941" s="126"/>
      <c r="E941" s="126"/>
      <c r="F941" s="126"/>
      <c r="G941" s="126"/>
      <c r="H941" s="126"/>
      <c r="I941" s="126"/>
      <c r="J941" s="126"/>
      <c r="K941" s="126"/>
      <c r="L941" s="126"/>
      <c r="M941" s="126"/>
    </row>
    <row r="942" spans="2:13">
      <c r="B942" s="126"/>
      <c r="C942" s="126"/>
      <c r="D942" s="126"/>
      <c r="E942" s="126"/>
      <c r="F942" s="126"/>
      <c r="G942" s="126"/>
      <c r="H942" s="126"/>
      <c r="I942" s="126"/>
      <c r="J942" s="126"/>
      <c r="K942" s="126"/>
      <c r="L942" s="126"/>
      <c r="M942" s="126"/>
    </row>
    <row r="943" spans="2:13">
      <c r="B943" s="126"/>
      <c r="C943" s="126"/>
      <c r="D943" s="126"/>
      <c r="E943" s="126"/>
      <c r="F943" s="126"/>
      <c r="G943" s="126"/>
      <c r="H943" s="126"/>
      <c r="I943" s="126"/>
      <c r="J943" s="126"/>
      <c r="K943" s="126"/>
      <c r="L943" s="126"/>
      <c r="M943" s="126"/>
    </row>
    <row r="944" spans="2:13">
      <c r="B944" s="126"/>
      <c r="C944" s="126"/>
      <c r="D944" s="126"/>
      <c r="E944" s="126"/>
      <c r="F944" s="126"/>
      <c r="G944" s="126"/>
      <c r="H944" s="126"/>
      <c r="I944" s="126"/>
      <c r="J944" s="126"/>
      <c r="K944" s="126"/>
      <c r="L944" s="126"/>
      <c r="M944" s="126"/>
    </row>
    <row r="945" spans="2:13">
      <c r="B945" s="126"/>
      <c r="C945" s="126"/>
      <c r="D945" s="126"/>
      <c r="E945" s="126"/>
      <c r="F945" s="126"/>
      <c r="G945" s="126"/>
      <c r="H945" s="126"/>
      <c r="I945" s="126"/>
      <c r="J945" s="126"/>
      <c r="K945" s="126"/>
      <c r="L945" s="126"/>
      <c r="M945" s="126"/>
    </row>
    <row r="946" spans="2:13">
      <c r="B946" s="126"/>
      <c r="C946" s="126"/>
      <c r="D946" s="126"/>
      <c r="E946" s="126"/>
      <c r="F946" s="126"/>
      <c r="G946" s="126"/>
      <c r="H946" s="126"/>
      <c r="I946" s="126"/>
      <c r="J946" s="126"/>
      <c r="K946" s="126"/>
      <c r="L946" s="126"/>
      <c r="M946" s="126"/>
    </row>
    <row r="947" spans="2:13">
      <c r="B947" s="126"/>
      <c r="C947" s="126"/>
      <c r="D947" s="126"/>
      <c r="E947" s="126"/>
      <c r="F947" s="126"/>
      <c r="G947" s="126"/>
      <c r="H947" s="126"/>
      <c r="I947" s="126"/>
      <c r="J947" s="126"/>
      <c r="K947" s="126"/>
      <c r="L947" s="126"/>
      <c r="M947" s="126"/>
    </row>
    <row r="948" spans="2:13">
      <c r="B948" s="126"/>
      <c r="C948" s="126"/>
      <c r="D948" s="126"/>
      <c r="E948" s="126"/>
      <c r="F948" s="126"/>
      <c r="G948" s="126"/>
      <c r="H948" s="126"/>
      <c r="I948" s="126"/>
      <c r="J948" s="126"/>
      <c r="K948" s="126"/>
      <c r="L948" s="126"/>
      <c r="M948" s="126"/>
    </row>
    <row r="949" spans="2:13">
      <c r="B949" s="126"/>
      <c r="C949" s="126"/>
      <c r="D949" s="126"/>
      <c r="E949" s="126"/>
      <c r="F949" s="126"/>
      <c r="G949" s="126"/>
      <c r="H949" s="126"/>
      <c r="I949" s="126"/>
      <c r="J949" s="126"/>
      <c r="K949" s="126"/>
      <c r="L949" s="126"/>
      <c r="M949" s="126"/>
    </row>
    <row r="950" spans="2:13">
      <c r="B950" s="126"/>
      <c r="C950" s="126"/>
      <c r="D950" s="126"/>
      <c r="E950" s="126"/>
      <c r="F950" s="126"/>
      <c r="G950" s="126"/>
      <c r="H950" s="126"/>
      <c r="I950" s="126"/>
      <c r="J950" s="126"/>
      <c r="K950" s="126"/>
      <c r="L950" s="126"/>
      <c r="M950" s="126"/>
    </row>
    <row r="951" spans="2:13">
      <c r="B951" s="126"/>
      <c r="C951" s="126"/>
      <c r="D951" s="126"/>
      <c r="E951" s="126"/>
      <c r="F951" s="126"/>
      <c r="G951" s="126"/>
      <c r="H951" s="126"/>
      <c r="I951" s="126"/>
      <c r="J951" s="126"/>
      <c r="K951" s="126"/>
      <c r="L951" s="126"/>
      <c r="M951" s="126"/>
    </row>
    <row r="952" spans="2:13">
      <c r="B952" s="126"/>
      <c r="C952" s="126"/>
      <c r="D952" s="126"/>
      <c r="E952" s="126"/>
      <c r="F952" s="126"/>
      <c r="G952" s="126"/>
      <c r="H952" s="126"/>
      <c r="I952" s="126"/>
      <c r="J952" s="126"/>
      <c r="K952" s="126"/>
      <c r="L952" s="126"/>
      <c r="M952" s="126"/>
    </row>
    <row r="953" spans="2:13">
      <c r="B953" s="126"/>
      <c r="C953" s="126"/>
      <c r="D953" s="126"/>
      <c r="E953" s="126"/>
      <c r="F953" s="126"/>
      <c r="G953" s="126"/>
      <c r="H953" s="126"/>
      <c r="I953" s="126"/>
      <c r="J953" s="126"/>
      <c r="K953" s="126"/>
      <c r="L953" s="126"/>
      <c r="M953" s="126"/>
    </row>
    <row r="954" spans="2:13">
      <c r="B954" s="126"/>
      <c r="C954" s="126"/>
      <c r="D954" s="126"/>
      <c r="E954" s="126"/>
      <c r="F954" s="126"/>
      <c r="G954" s="126"/>
      <c r="H954" s="126"/>
      <c r="I954" s="126"/>
      <c r="J954" s="126"/>
      <c r="K954" s="126"/>
      <c r="L954" s="126"/>
      <c r="M954" s="126"/>
    </row>
    <row r="955" spans="2:13">
      <c r="B955" s="126"/>
      <c r="C955" s="126"/>
      <c r="D955" s="126"/>
      <c r="E955" s="126"/>
      <c r="F955" s="126"/>
      <c r="G955" s="126"/>
      <c r="H955" s="126"/>
      <c r="I955" s="126"/>
      <c r="J955" s="126"/>
      <c r="K955" s="126"/>
      <c r="L955" s="126"/>
      <c r="M955" s="126"/>
    </row>
    <row r="956" spans="2:13">
      <c r="B956" s="126"/>
      <c r="C956" s="126"/>
      <c r="D956" s="126"/>
      <c r="E956" s="126"/>
      <c r="F956" s="126"/>
      <c r="G956" s="126"/>
      <c r="H956" s="126"/>
      <c r="I956" s="126"/>
      <c r="J956" s="126"/>
      <c r="K956" s="126"/>
      <c r="L956" s="126"/>
      <c r="M956" s="126"/>
    </row>
    <row r="957" spans="2:13">
      <c r="B957" s="126"/>
      <c r="C957" s="126"/>
      <c r="D957" s="126"/>
      <c r="E957" s="126"/>
      <c r="F957" s="126"/>
      <c r="G957" s="126"/>
      <c r="H957" s="126"/>
      <c r="I957" s="126"/>
      <c r="J957" s="126"/>
      <c r="K957" s="126"/>
      <c r="L957" s="126"/>
      <c r="M957" s="126"/>
    </row>
    <row r="958" spans="2:13">
      <c r="B958" s="126"/>
      <c r="C958" s="126"/>
      <c r="D958" s="126"/>
      <c r="E958" s="126"/>
      <c r="F958" s="126"/>
      <c r="G958" s="126"/>
      <c r="H958" s="126"/>
      <c r="I958" s="126"/>
      <c r="J958" s="126"/>
      <c r="K958" s="126"/>
      <c r="L958" s="126"/>
      <c r="M958" s="126"/>
    </row>
    <row r="959" spans="2:13">
      <c r="B959" s="126"/>
      <c r="C959" s="126"/>
      <c r="D959" s="126"/>
      <c r="E959" s="126"/>
      <c r="F959" s="126"/>
      <c r="G959" s="126"/>
      <c r="H959" s="126"/>
      <c r="I959" s="126"/>
      <c r="J959" s="126"/>
      <c r="K959" s="126"/>
      <c r="L959" s="126"/>
      <c r="M959" s="126"/>
    </row>
    <row r="960" spans="2:13">
      <c r="B960" s="126"/>
      <c r="C960" s="126"/>
      <c r="D960" s="126"/>
      <c r="E960" s="126"/>
      <c r="F960" s="126"/>
      <c r="G960" s="126"/>
      <c r="H960" s="126"/>
      <c r="I960" s="126"/>
      <c r="J960" s="126"/>
      <c r="K960" s="126"/>
      <c r="L960" s="126"/>
      <c r="M960" s="126"/>
    </row>
    <row r="961" spans="2:13">
      <c r="B961" s="126"/>
      <c r="C961" s="126"/>
      <c r="D961" s="126"/>
      <c r="E961" s="126"/>
      <c r="F961" s="126"/>
      <c r="G961" s="126"/>
      <c r="H961" s="126"/>
      <c r="I961" s="126"/>
      <c r="J961" s="126"/>
      <c r="K961" s="126"/>
      <c r="L961" s="126"/>
      <c r="M961" s="126"/>
    </row>
    <row r="962" spans="2:13">
      <c r="B962" s="126"/>
      <c r="C962" s="126"/>
      <c r="D962" s="126"/>
      <c r="E962" s="126"/>
      <c r="F962" s="126"/>
      <c r="G962" s="126"/>
      <c r="H962" s="126"/>
      <c r="I962" s="126"/>
      <c r="J962" s="126"/>
      <c r="K962" s="126"/>
      <c r="L962" s="126"/>
      <c r="M962" s="126"/>
    </row>
    <row r="963" spans="2:13">
      <c r="B963" s="126"/>
      <c r="C963" s="126"/>
      <c r="D963" s="126"/>
      <c r="E963" s="126"/>
      <c r="F963" s="126"/>
      <c r="G963" s="126"/>
      <c r="H963" s="126"/>
      <c r="I963" s="126"/>
      <c r="J963" s="126"/>
      <c r="K963" s="126"/>
      <c r="L963" s="126"/>
      <c r="M963" s="126"/>
    </row>
    <row r="964" spans="2:13">
      <c r="B964" s="126"/>
      <c r="C964" s="126"/>
      <c r="D964" s="126"/>
      <c r="E964" s="126"/>
      <c r="F964" s="126"/>
      <c r="G964" s="126"/>
      <c r="H964" s="126"/>
      <c r="I964" s="126"/>
      <c r="J964" s="126"/>
      <c r="K964" s="126"/>
      <c r="L964" s="126"/>
      <c r="M964" s="126"/>
    </row>
    <row r="965" spans="2:13">
      <c r="B965" s="126"/>
      <c r="C965" s="126"/>
      <c r="D965" s="126"/>
      <c r="E965" s="126"/>
      <c r="F965" s="126"/>
      <c r="G965" s="126"/>
      <c r="H965" s="126"/>
      <c r="I965" s="126"/>
      <c r="J965" s="126"/>
      <c r="K965" s="126"/>
      <c r="L965" s="126"/>
      <c r="M965" s="126"/>
    </row>
    <row r="966" spans="2:13">
      <c r="B966" s="126"/>
      <c r="C966" s="126"/>
      <c r="D966" s="126"/>
      <c r="E966" s="126"/>
      <c r="F966" s="126"/>
      <c r="G966" s="126"/>
      <c r="H966" s="126"/>
      <c r="I966" s="126"/>
      <c r="J966" s="126"/>
      <c r="K966" s="126"/>
      <c r="L966" s="126"/>
      <c r="M966" s="126"/>
    </row>
    <row r="967" spans="2:13">
      <c r="B967" s="126"/>
      <c r="C967" s="126"/>
      <c r="D967" s="126"/>
      <c r="E967" s="126"/>
      <c r="F967" s="126"/>
      <c r="G967" s="126"/>
      <c r="H967" s="126"/>
      <c r="I967" s="126"/>
      <c r="J967" s="126"/>
      <c r="K967" s="126"/>
      <c r="L967" s="126"/>
      <c r="M967" s="126"/>
    </row>
    <row r="968" spans="2:13">
      <c r="B968" s="126"/>
      <c r="C968" s="126"/>
      <c r="D968" s="126"/>
      <c r="E968" s="126"/>
      <c r="F968" s="126"/>
      <c r="G968" s="126"/>
      <c r="H968" s="126"/>
      <c r="I968" s="126"/>
      <c r="J968" s="126"/>
      <c r="K968" s="126"/>
      <c r="L968" s="126"/>
      <c r="M968" s="126"/>
    </row>
    <row r="969" spans="2:13">
      <c r="B969" s="126"/>
      <c r="C969" s="126"/>
      <c r="D969" s="126"/>
      <c r="E969" s="126"/>
      <c r="F969" s="126"/>
      <c r="G969" s="126"/>
      <c r="H969" s="126"/>
      <c r="I969" s="126"/>
      <c r="J969" s="126"/>
      <c r="K969" s="126"/>
      <c r="L969" s="126"/>
      <c r="M969" s="126"/>
    </row>
    <row r="970" spans="2:13">
      <c r="B970" s="126"/>
      <c r="C970" s="126"/>
      <c r="D970" s="126"/>
      <c r="E970" s="126"/>
      <c r="F970" s="126"/>
      <c r="G970" s="126"/>
      <c r="H970" s="126"/>
      <c r="I970" s="126"/>
      <c r="J970" s="126"/>
      <c r="K970" s="126"/>
      <c r="L970" s="126"/>
      <c r="M970" s="126"/>
    </row>
    <row r="971" spans="2:13">
      <c r="B971" s="126"/>
      <c r="C971" s="126"/>
      <c r="D971" s="126"/>
      <c r="E971" s="126"/>
      <c r="F971" s="126"/>
      <c r="G971" s="126"/>
      <c r="H971" s="126"/>
      <c r="I971" s="126"/>
      <c r="J971" s="126"/>
      <c r="K971" s="126"/>
      <c r="L971" s="126"/>
      <c r="M971" s="126"/>
    </row>
    <row r="972" spans="2:13">
      <c r="B972" s="126"/>
      <c r="C972" s="126"/>
      <c r="D972" s="126"/>
      <c r="E972" s="126"/>
      <c r="F972" s="126"/>
      <c r="G972" s="126"/>
      <c r="H972" s="126"/>
      <c r="I972" s="126"/>
      <c r="J972" s="126"/>
      <c r="K972" s="126"/>
      <c r="L972" s="126"/>
      <c r="M972" s="126"/>
    </row>
    <row r="973" spans="2:13">
      <c r="B973" s="126"/>
      <c r="C973" s="126"/>
      <c r="D973" s="126"/>
      <c r="E973" s="126"/>
      <c r="F973" s="126"/>
      <c r="G973" s="126"/>
      <c r="H973" s="126"/>
      <c r="I973" s="126"/>
      <c r="J973" s="126"/>
      <c r="K973" s="126"/>
      <c r="L973" s="126"/>
      <c r="M973" s="126"/>
    </row>
    <row r="974" spans="2:13">
      <c r="B974" s="126"/>
      <c r="C974" s="126"/>
      <c r="D974" s="126"/>
      <c r="E974" s="126"/>
      <c r="F974" s="126"/>
      <c r="G974" s="126"/>
      <c r="H974" s="126"/>
      <c r="I974" s="126"/>
      <c r="J974" s="126"/>
      <c r="K974" s="126"/>
      <c r="L974" s="126"/>
      <c r="M974" s="126"/>
    </row>
    <row r="975" spans="2:13">
      <c r="B975" s="126"/>
      <c r="C975" s="126"/>
      <c r="D975" s="126"/>
      <c r="E975" s="126"/>
      <c r="F975" s="126"/>
      <c r="G975" s="126"/>
      <c r="H975" s="126"/>
      <c r="I975" s="126"/>
      <c r="J975" s="126"/>
      <c r="K975" s="126"/>
      <c r="L975" s="126"/>
      <c r="M975" s="126"/>
    </row>
    <row r="976" spans="2:13">
      <c r="B976" s="126"/>
      <c r="C976" s="126"/>
      <c r="D976" s="126"/>
      <c r="E976" s="126"/>
      <c r="F976" s="126"/>
      <c r="G976" s="126"/>
      <c r="H976" s="126"/>
      <c r="I976" s="126"/>
      <c r="J976" s="126"/>
      <c r="K976" s="126"/>
      <c r="L976" s="126"/>
      <c r="M976" s="126"/>
    </row>
    <row r="977" spans="2:13">
      <c r="B977" s="126"/>
      <c r="C977" s="126"/>
      <c r="D977" s="126"/>
      <c r="E977" s="126"/>
      <c r="F977" s="126"/>
      <c r="G977" s="126"/>
      <c r="H977" s="126"/>
      <c r="I977" s="126"/>
      <c r="J977" s="126"/>
      <c r="K977" s="126"/>
      <c r="L977" s="126"/>
      <c r="M977" s="126"/>
    </row>
    <row r="978" spans="2:13">
      <c r="B978" s="126"/>
      <c r="C978" s="126"/>
      <c r="D978" s="126"/>
      <c r="E978" s="126"/>
      <c r="F978" s="126"/>
      <c r="G978" s="126"/>
      <c r="H978" s="126"/>
      <c r="I978" s="126"/>
      <c r="J978" s="126"/>
      <c r="K978" s="126"/>
      <c r="L978" s="126"/>
      <c r="M978" s="126"/>
    </row>
    <row r="979" spans="2:13">
      <c r="B979" s="126"/>
      <c r="C979" s="126"/>
      <c r="D979" s="126"/>
      <c r="E979" s="126"/>
      <c r="F979" s="126"/>
      <c r="G979" s="126"/>
      <c r="H979" s="126"/>
      <c r="I979" s="126"/>
      <c r="J979" s="126"/>
      <c r="K979" s="126"/>
      <c r="L979" s="126"/>
      <c r="M979" s="126"/>
    </row>
    <row r="980" spans="2:13">
      <c r="B980" s="126"/>
      <c r="C980" s="126"/>
      <c r="D980" s="126"/>
      <c r="E980" s="126"/>
      <c r="F980" s="126"/>
      <c r="G980" s="126"/>
      <c r="H980" s="126"/>
      <c r="I980" s="126"/>
      <c r="J980" s="126"/>
      <c r="K980" s="126"/>
      <c r="L980" s="126"/>
      <c r="M980" s="126"/>
    </row>
    <row r="981" spans="2:13">
      <c r="B981" s="126"/>
      <c r="C981" s="126"/>
      <c r="D981" s="126"/>
      <c r="E981" s="126"/>
      <c r="F981" s="126"/>
      <c r="G981" s="126"/>
      <c r="H981" s="126"/>
      <c r="I981" s="126"/>
      <c r="J981" s="126"/>
      <c r="K981" s="126"/>
      <c r="L981" s="126"/>
      <c r="M981" s="126"/>
    </row>
    <row r="982" spans="2:13">
      <c r="B982" s="126"/>
      <c r="C982" s="126"/>
      <c r="D982" s="126"/>
      <c r="E982" s="126"/>
      <c r="F982" s="126"/>
      <c r="G982" s="126"/>
      <c r="H982" s="126"/>
      <c r="I982" s="126"/>
      <c r="J982" s="126"/>
      <c r="K982" s="126"/>
      <c r="L982" s="126"/>
      <c r="M982" s="126"/>
    </row>
    <row r="983" spans="2:13">
      <c r="B983" s="126"/>
      <c r="C983" s="126"/>
      <c r="D983" s="126"/>
      <c r="E983" s="126"/>
      <c r="F983" s="126"/>
      <c r="G983" s="126"/>
      <c r="H983" s="126"/>
      <c r="I983" s="126"/>
      <c r="J983" s="126"/>
      <c r="K983" s="126"/>
      <c r="L983" s="126"/>
      <c r="M983" s="126"/>
    </row>
    <row r="984" spans="2:13">
      <c r="B984" s="126"/>
      <c r="C984" s="126"/>
      <c r="D984" s="126"/>
      <c r="E984" s="126"/>
      <c r="F984" s="126"/>
      <c r="G984" s="126"/>
      <c r="H984" s="126"/>
      <c r="I984" s="126"/>
      <c r="J984" s="126"/>
      <c r="K984" s="126"/>
      <c r="L984" s="126"/>
      <c r="M984" s="126"/>
    </row>
    <row r="985" spans="2:13">
      <c r="B985" s="126"/>
      <c r="C985" s="126"/>
      <c r="D985" s="126"/>
      <c r="E985" s="126"/>
      <c r="F985" s="126"/>
      <c r="G985" s="126"/>
      <c r="H985" s="126"/>
      <c r="I985" s="126"/>
      <c r="J985" s="126"/>
      <c r="K985" s="126"/>
      <c r="L985" s="126"/>
      <c r="M985" s="126"/>
    </row>
    <row r="986" spans="2:13">
      <c r="B986" s="126"/>
      <c r="C986" s="126"/>
      <c r="D986" s="126"/>
      <c r="E986" s="126"/>
      <c r="F986" s="126"/>
      <c r="G986" s="126"/>
      <c r="H986" s="126"/>
      <c r="I986" s="126"/>
      <c r="J986" s="126"/>
      <c r="K986" s="126"/>
      <c r="L986" s="126"/>
      <c r="M986" s="126"/>
    </row>
    <row r="987" spans="2:13">
      <c r="B987" s="126"/>
      <c r="C987" s="126"/>
      <c r="D987" s="126"/>
      <c r="E987" s="126"/>
      <c r="F987" s="126"/>
      <c r="G987" s="126"/>
      <c r="H987" s="126"/>
      <c r="I987" s="126"/>
      <c r="J987" s="126"/>
      <c r="K987" s="126"/>
      <c r="L987" s="126"/>
      <c r="M987" s="126"/>
    </row>
    <row r="988" spans="2:13">
      <c r="B988" s="126"/>
      <c r="C988" s="126"/>
      <c r="D988" s="126"/>
      <c r="E988" s="126"/>
      <c r="F988" s="126"/>
      <c r="G988" s="126"/>
      <c r="H988" s="126"/>
      <c r="I988" s="126"/>
      <c r="J988" s="126"/>
      <c r="K988" s="126"/>
      <c r="L988" s="126"/>
      <c r="M988" s="126"/>
    </row>
    <row r="989" spans="2:13">
      <c r="B989" s="126"/>
      <c r="C989" s="126"/>
      <c r="D989" s="126"/>
      <c r="E989" s="126"/>
      <c r="F989" s="126"/>
      <c r="G989" s="126"/>
      <c r="H989" s="126"/>
      <c r="I989" s="126"/>
      <c r="J989" s="126"/>
      <c r="K989" s="126"/>
      <c r="L989" s="126"/>
      <c r="M989" s="126"/>
    </row>
    <row r="990" spans="2:13">
      <c r="B990" s="126"/>
      <c r="C990" s="126"/>
      <c r="D990" s="126"/>
      <c r="E990" s="126"/>
      <c r="F990" s="126"/>
      <c r="G990" s="126"/>
      <c r="H990" s="126"/>
      <c r="I990" s="126"/>
      <c r="J990" s="126"/>
      <c r="K990" s="126"/>
      <c r="L990" s="126"/>
      <c r="M990" s="126"/>
    </row>
    <row r="991" spans="2:13">
      <c r="B991" s="126"/>
      <c r="C991" s="126"/>
      <c r="D991" s="126"/>
      <c r="E991" s="126"/>
      <c r="F991" s="126"/>
      <c r="G991" s="126"/>
      <c r="H991" s="126"/>
      <c r="I991" s="126"/>
      <c r="J991" s="126"/>
      <c r="K991" s="126"/>
      <c r="L991" s="126"/>
      <c r="M991" s="126"/>
    </row>
    <row r="992" spans="2:13">
      <c r="B992" s="126"/>
      <c r="C992" s="126"/>
      <c r="D992" s="126"/>
      <c r="E992" s="126"/>
      <c r="F992" s="126"/>
      <c r="G992" s="126"/>
      <c r="H992" s="126"/>
      <c r="I992" s="126"/>
      <c r="J992" s="126"/>
      <c r="K992" s="126"/>
      <c r="L992" s="126"/>
      <c r="M992" s="126"/>
    </row>
    <row r="993" spans="2:13">
      <c r="B993" s="126"/>
      <c r="C993" s="126"/>
      <c r="D993" s="126"/>
      <c r="E993" s="126"/>
      <c r="F993" s="126"/>
      <c r="G993" s="126"/>
      <c r="H993" s="126"/>
      <c r="I993" s="126"/>
      <c r="J993" s="126"/>
      <c r="K993" s="126"/>
      <c r="L993" s="126"/>
      <c r="M993" s="126"/>
    </row>
    <row r="994" spans="2:13">
      <c r="B994" s="126"/>
      <c r="C994" s="126"/>
      <c r="D994" s="126"/>
      <c r="E994" s="126"/>
      <c r="F994" s="126"/>
      <c r="G994" s="126"/>
      <c r="H994" s="126"/>
      <c r="I994" s="126"/>
      <c r="J994" s="126"/>
      <c r="K994" s="126"/>
      <c r="L994" s="126"/>
      <c r="M994" s="126"/>
    </row>
    <row r="995" spans="2:13">
      <c r="B995" s="126"/>
      <c r="C995" s="126"/>
      <c r="D995" s="126"/>
      <c r="E995" s="126"/>
      <c r="F995" s="126"/>
      <c r="G995" s="126"/>
      <c r="H995" s="126"/>
      <c r="I995" s="126"/>
      <c r="J995" s="126"/>
      <c r="K995" s="126"/>
      <c r="L995" s="126"/>
      <c r="M995" s="126"/>
    </row>
    <row r="996" spans="2:13">
      <c r="B996" s="126"/>
      <c r="C996" s="126"/>
      <c r="D996" s="126"/>
      <c r="E996" s="126"/>
      <c r="F996" s="126"/>
      <c r="G996" s="126"/>
      <c r="H996" s="126"/>
      <c r="I996" s="126"/>
      <c r="J996" s="126"/>
      <c r="K996" s="126"/>
      <c r="L996" s="126"/>
      <c r="M996" s="126"/>
    </row>
    <row r="997" spans="2:13">
      <c r="B997" s="126"/>
      <c r="C997" s="126"/>
      <c r="D997" s="126"/>
      <c r="E997" s="126"/>
      <c r="F997" s="126"/>
      <c r="G997" s="126"/>
      <c r="H997" s="126"/>
      <c r="I997" s="126"/>
      <c r="J997" s="126"/>
      <c r="K997" s="126"/>
      <c r="L997" s="126"/>
      <c r="M997" s="126"/>
    </row>
    <row r="998" spans="2:13">
      <c r="B998" s="126"/>
      <c r="C998" s="126"/>
      <c r="D998" s="126"/>
      <c r="E998" s="126"/>
      <c r="F998" s="126"/>
      <c r="G998" s="126"/>
      <c r="H998" s="126"/>
      <c r="I998" s="126"/>
      <c r="J998" s="126"/>
      <c r="K998" s="126"/>
      <c r="L998" s="126"/>
      <c r="M998" s="126"/>
    </row>
    <row r="999" spans="2:13">
      <c r="B999" s="126"/>
      <c r="C999" s="126"/>
      <c r="D999" s="126"/>
      <c r="E999" s="126"/>
      <c r="F999" s="126"/>
      <c r="G999" s="126"/>
      <c r="H999" s="126"/>
      <c r="I999" s="126"/>
      <c r="J999" s="126"/>
      <c r="K999" s="126"/>
      <c r="L999" s="126"/>
      <c r="M999" s="126"/>
    </row>
    <row r="1000" spans="2:13">
      <c r="B1000" s="126"/>
      <c r="C1000" s="126"/>
      <c r="D1000" s="126"/>
      <c r="E1000" s="126"/>
      <c r="F1000" s="126"/>
      <c r="G1000" s="126"/>
      <c r="H1000" s="126"/>
      <c r="I1000" s="126"/>
      <c r="J1000" s="126"/>
      <c r="K1000" s="126"/>
      <c r="L1000" s="126"/>
      <c r="M1000" s="126"/>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E1000"/>
  <sheetViews>
    <sheetView showGridLines="0" workbookViewId="0"/>
  </sheetViews>
  <sheetFormatPr baseColWidth="10" defaultColWidth="12.5703125" defaultRowHeight="15" customHeight="1"/>
  <cols>
    <col min="1" max="1" width="44" customWidth="1"/>
    <col min="2" max="2" width="43.140625" customWidth="1"/>
    <col min="3" max="3" width="34.5703125" customWidth="1"/>
    <col min="4" max="4" width="24.140625" customWidth="1"/>
  </cols>
  <sheetData>
    <row r="1" spans="1:4">
      <c r="A1" s="141" t="s">
        <v>0</v>
      </c>
      <c r="B1" s="142" t="s">
        <v>59</v>
      </c>
      <c r="D1" s="126"/>
    </row>
    <row r="2" spans="1:4">
      <c r="D2" s="126"/>
    </row>
    <row r="3" spans="1:4">
      <c r="A3" s="134" t="s">
        <v>10</v>
      </c>
      <c r="B3" s="134" t="s">
        <v>7</v>
      </c>
      <c r="C3" s="143" t="s">
        <v>1678</v>
      </c>
      <c r="D3" s="126"/>
    </row>
    <row r="4" spans="1:4">
      <c r="A4" s="133" t="s">
        <v>289</v>
      </c>
      <c r="B4" s="133" t="s">
        <v>287</v>
      </c>
      <c r="C4" s="242">
        <v>1391397005</v>
      </c>
      <c r="D4" s="126"/>
    </row>
    <row r="5" spans="1:4">
      <c r="A5" s="133" t="s">
        <v>274</v>
      </c>
      <c r="B5" s="133" t="s">
        <v>272</v>
      </c>
      <c r="C5" s="242">
        <v>108602995</v>
      </c>
      <c r="D5" s="126"/>
    </row>
    <row r="6" spans="1:4">
      <c r="A6" s="133" t="s">
        <v>529</v>
      </c>
      <c r="B6" s="133" t="s">
        <v>527</v>
      </c>
      <c r="C6" s="242">
        <v>5041034524</v>
      </c>
      <c r="D6" s="126"/>
    </row>
    <row r="7" spans="1:4">
      <c r="A7" s="133" t="s">
        <v>586</v>
      </c>
      <c r="B7" s="133" t="s">
        <v>584</v>
      </c>
      <c r="C7" s="242">
        <v>799179995</v>
      </c>
      <c r="D7" s="126"/>
    </row>
    <row r="8" spans="1:4">
      <c r="A8" s="133" t="s">
        <v>1005</v>
      </c>
      <c r="B8" s="133" t="s">
        <v>1004</v>
      </c>
      <c r="C8" s="242">
        <v>713512590</v>
      </c>
      <c r="D8" s="126"/>
    </row>
    <row r="9" spans="1:4">
      <c r="A9" s="133" t="s">
        <v>963</v>
      </c>
      <c r="B9" s="133" t="s">
        <v>962</v>
      </c>
      <c r="C9" s="242">
        <v>2086487410</v>
      </c>
      <c r="D9" s="126"/>
    </row>
    <row r="10" spans="1:4">
      <c r="A10" s="133" t="s">
        <v>1147</v>
      </c>
      <c r="B10" s="133" t="s">
        <v>65</v>
      </c>
      <c r="C10" s="242">
        <v>2409089505</v>
      </c>
      <c r="D10" s="126"/>
    </row>
    <row r="11" spans="1:4">
      <c r="A11" s="133" t="s">
        <v>1177</v>
      </c>
      <c r="B11" s="133" t="s">
        <v>1175</v>
      </c>
      <c r="C11" s="242">
        <v>1090910495</v>
      </c>
      <c r="D11" s="126"/>
    </row>
    <row r="12" spans="1:4">
      <c r="A12" s="133" t="s">
        <v>718</v>
      </c>
      <c r="B12" s="133" t="s">
        <v>716</v>
      </c>
      <c r="C12" s="242">
        <v>800000000</v>
      </c>
      <c r="D12" s="126"/>
    </row>
    <row r="13" spans="1:4">
      <c r="A13" s="133" t="s">
        <v>749</v>
      </c>
      <c r="B13" s="133" t="s">
        <v>747</v>
      </c>
      <c r="C13" s="242">
        <v>1200000000</v>
      </c>
      <c r="D13" s="126"/>
    </row>
    <row r="14" spans="1:4">
      <c r="A14" s="133" t="s">
        <v>1062</v>
      </c>
      <c r="B14" s="133" t="s">
        <v>1061</v>
      </c>
      <c r="C14" s="242">
        <v>2332684384</v>
      </c>
      <c r="D14" s="126"/>
    </row>
    <row r="15" spans="1:4">
      <c r="A15" s="133" t="s">
        <v>1080</v>
      </c>
      <c r="B15" s="133" t="s">
        <v>1079</v>
      </c>
      <c r="C15" s="242">
        <v>755667200</v>
      </c>
      <c r="D15" s="126"/>
    </row>
    <row r="16" spans="1:4">
      <c r="A16" s="133" t="s">
        <v>1085</v>
      </c>
      <c r="B16" s="133" t="s">
        <v>1084</v>
      </c>
      <c r="C16" s="242">
        <v>949024000</v>
      </c>
      <c r="D16" s="126"/>
    </row>
    <row r="17" spans="1:5">
      <c r="A17" s="133" t="s">
        <v>809</v>
      </c>
      <c r="B17" s="133" t="s">
        <v>808</v>
      </c>
      <c r="C17" s="242">
        <v>205235000</v>
      </c>
      <c r="D17" s="126"/>
    </row>
    <row r="18" spans="1:5">
      <c r="A18" s="144"/>
      <c r="B18" s="139" t="s">
        <v>842</v>
      </c>
      <c r="C18" s="243">
        <v>438415160</v>
      </c>
      <c r="D18" s="126"/>
    </row>
    <row r="19" spans="1:5">
      <c r="A19" s="133" t="s">
        <v>914</v>
      </c>
      <c r="B19" s="133" t="s">
        <v>912</v>
      </c>
      <c r="C19" s="242">
        <v>352445220</v>
      </c>
      <c r="D19" s="126"/>
    </row>
    <row r="20" spans="1:5">
      <c r="A20" s="133" t="s">
        <v>870</v>
      </c>
      <c r="B20" s="133" t="s">
        <v>869</v>
      </c>
      <c r="C20" s="242">
        <v>317000000</v>
      </c>
      <c r="D20" s="126"/>
    </row>
    <row r="21" spans="1:5">
      <c r="A21" s="133" t="s">
        <v>824</v>
      </c>
      <c r="B21" s="133" t="s">
        <v>822</v>
      </c>
      <c r="C21" s="242">
        <v>294235000</v>
      </c>
      <c r="D21" s="126"/>
    </row>
    <row r="22" spans="1:5">
      <c r="A22" s="144"/>
      <c r="B22" s="139" t="s">
        <v>890</v>
      </c>
      <c r="C22" s="243">
        <v>592669620</v>
      </c>
      <c r="D22" s="131">
        <v>737178628</v>
      </c>
      <c r="E22" s="126">
        <f>C22-D22</f>
        <v>-144509008</v>
      </c>
    </row>
    <row r="23" spans="1:5">
      <c r="A23" s="133" t="s">
        <v>192</v>
      </c>
      <c r="B23" s="133" t="s">
        <v>190</v>
      </c>
      <c r="C23" s="242">
        <v>371664514</v>
      </c>
    </row>
    <row r="24" spans="1:5">
      <c r="A24" s="133" t="s">
        <v>68</v>
      </c>
      <c r="B24" s="133" t="s">
        <v>65</v>
      </c>
      <c r="C24" s="242">
        <v>737178628</v>
      </c>
      <c r="D24" s="131">
        <v>501120685</v>
      </c>
      <c r="E24" s="126">
        <f>C24-D24</f>
        <v>236057943</v>
      </c>
    </row>
    <row r="25" spans="1:5">
      <c r="A25" s="144"/>
      <c r="B25" s="139" t="s">
        <v>245</v>
      </c>
      <c r="C25" s="243">
        <v>192509986</v>
      </c>
      <c r="D25" s="126"/>
      <c r="E25" s="132"/>
    </row>
    <row r="26" spans="1:5">
      <c r="A26" s="133" t="s">
        <v>82</v>
      </c>
      <c r="B26" s="133" t="s">
        <v>80</v>
      </c>
      <c r="C26" s="242">
        <v>501120685</v>
      </c>
      <c r="D26" s="126"/>
    </row>
    <row r="27" spans="1:5">
      <c r="A27" s="133" t="s">
        <v>231</v>
      </c>
      <c r="B27" s="133" t="s">
        <v>229</v>
      </c>
      <c r="C27" s="242">
        <v>469439476</v>
      </c>
      <c r="D27" s="126"/>
    </row>
    <row r="28" spans="1:5">
      <c r="A28" s="133" t="s">
        <v>406</v>
      </c>
      <c r="B28" s="133" t="s">
        <v>404</v>
      </c>
      <c r="C28" s="242">
        <v>318300000</v>
      </c>
      <c r="D28" s="126"/>
    </row>
    <row r="29" spans="1:5">
      <c r="A29" s="133" t="s">
        <v>377</v>
      </c>
      <c r="B29" s="133" t="s">
        <v>375</v>
      </c>
      <c r="C29" s="242">
        <v>873135480</v>
      </c>
      <c r="D29" s="126"/>
    </row>
    <row r="30" spans="1:5">
      <c r="A30" s="140" t="s">
        <v>392</v>
      </c>
      <c r="B30" s="140" t="s">
        <v>390</v>
      </c>
      <c r="C30" s="244">
        <v>2704892399</v>
      </c>
      <c r="D30" s="126"/>
    </row>
    <row r="31" spans="1:5">
      <c r="C31" s="126"/>
      <c r="D31" s="126"/>
    </row>
    <row r="32" spans="1:5">
      <c r="C32" s="126"/>
      <c r="D32" s="126"/>
    </row>
    <row r="33" spans="3:4">
      <c r="C33" s="126"/>
      <c r="D33" s="126"/>
    </row>
    <row r="34" spans="3:4">
      <c r="C34" s="126"/>
      <c r="D34" s="126"/>
    </row>
    <row r="35" spans="3:4">
      <c r="C35" s="126"/>
      <c r="D35" s="126"/>
    </row>
    <row r="36" spans="3:4">
      <c r="C36" s="126"/>
      <c r="D36" s="126"/>
    </row>
    <row r="37" spans="3:4">
      <c r="C37" s="126"/>
      <c r="D37" s="126"/>
    </row>
    <row r="38" spans="3:4">
      <c r="C38" s="126"/>
      <c r="D38" s="126"/>
    </row>
    <row r="39" spans="3:4">
      <c r="C39" s="126"/>
      <c r="D39" s="126"/>
    </row>
    <row r="40" spans="3:4">
      <c r="C40" s="126"/>
      <c r="D40" s="126"/>
    </row>
    <row r="41" spans="3:4">
      <c r="C41" s="126"/>
      <c r="D41" s="126"/>
    </row>
    <row r="42" spans="3:4">
      <c r="C42" s="126"/>
      <c r="D42" s="126"/>
    </row>
    <row r="43" spans="3:4">
      <c r="C43" s="126"/>
      <c r="D43" s="126"/>
    </row>
    <row r="44" spans="3:4">
      <c r="C44" s="126"/>
      <c r="D44" s="126"/>
    </row>
    <row r="45" spans="3:4">
      <c r="C45" s="126"/>
      <c r="D45" s="126"/>
    </row>
    <row r="46" spans="3:4">
      <c r="C46" s="126"/>
      <c r="D46" s="126"/>
    </row>
    <row r="47" spans="3:4">
      <c r="C47" s="126"/>
      <c r="D47" s="126"/>
    </row>
    <row r="48" spans="3:4">
      <c r="C48" s="126"/>
      <c r="D48" s="126"/>
    </row>
    <row r="49" spans="3:4">
      <c r="C49" s="126"/>
      <c r="D49" s="126"/>
    </row>
    <row r="50" spans="3:4">
      <c r="C50" s="126"/>
      <c r="D50" s="126"/>
    </row>
    <row r="51" spans="3:4">
      <c r="C51" s="126"/>
      <c r="D51" s="126"/>
    </row>
    <row r="52" spans="3:4">
      <c r="C52" s="126"/>
      <c r="D52" s="126"/>
    </row>
    <row r="53" spans="3:4">
      <c r="C53" s="126"/>
      <c r="D53" s="126"/>
    </row>
    <row r="54" spans="3:4">
      <c r="C54" s="126"/>
      <c r="D54" s="126"/>
    </row>
    <row r="55" spans="3:4">
      <c r="C55" s="126"/>
      <c r="D55" s="126"/>
    </row>
    <row r="56" spans="3:4">
      <c r="C56" s="126"/>
      <c r="D56" s="126"/>
    </row>
    <row r="57" spans="3:4">
      <c r="C57" s="126"/>
      <c r="D57" s="126"/>
    </row>
    <row r="58" spans="3:4">
      <c r="C58" s="126"/>
      <c r="D58" s="126"/>
    </row>
    <row r="59" spans="3:4">
      <c r="C59" s="126"/>
      <c r="D59" s="126"/>
    </row>
    <row r="60" spans="3:4">
      <c r="C60" s="126"/>
      <c r="D60" s="126"/>
    </row>
    <row r="61" spans="3:4">
      <c r="C61" s="126"/>
      <c r="D61" s="126"/>
    </row>
    <row r="62" spans="3:4">
      <c r="C62" s="126"/>
      <c r="D62" s="126"/>
    </row>
    <row r="63" spans="3:4">
      <c r="C63" s="126"/>
      <c r="D63" s="126"/>
    </row>
    <row r="64" spans="3:4">
      <c r="C64" s="126"/>
      <c r="D64" s="126"/>
    </row>
    <row r="65" spans="3:4">
      <c r="C65" s="126"/>
      <c r="D65" s="126"/>
    </row>
    <row r="66" spans="3:4">
      <c r="C66" s="126"/>
      <c r="D66" s="126"/>
    </row>
    <row r="67" spans="3:4">
      <c r="C67" s="126"/>
      <c r="D67" s="126"/>
    </row>
    <row r="68" spans="3:4">
      <c r="C68" s="126"/>
      <c r="D68" s="126"/>
    </row>
    <row r="69" spans="3:4">
      <c r="C69" s="126"/>
      <c r="D69" s="126"/>
    </row>
    <row r="70" spans="3:4">
      <c r="C70" s="126"/>
      <c r="D70" s="126"/>
    </row>
    <row r="71" spans="3:4">
      <c r="C71" s="126"/>
      <c r="D71" s="126"/>
    </row>
    <row r="72" spans="3:4">
      <c r="C72" s="126"/>
      <c r="D72" s="126"/>
    </row>
    <row r="73" spans="3:4">
      <c r="C73" s="126"/>
      <c r="D73" s="126"/>
    </row>
    <row r="74" spans="3:4">
      <c r="C74" s="126"/>
      <c r="D74" s="126"/>
    </row>
    <row r="75" spans="3:4">
      <c r="C75" s="126"/>
      <c r="D75" s="126"/>
    </row>
    <row r="76" spans="3:4">
      <c r="C76" s="126"/>
      <c r="D76" s="126"/>
    </row>
    <row r="77" spans="3:4">
      <c r="C77" s="126"/>
      <c r="D77" s="126"/>
    </row>
    <row r="78" spans="3:4">
      <c r="C78" s="126"/>
      <c r="D78" s="126"/>
    </row>
    <row r="79" spans="3:4">
      <c r="C79" s="126"/>
      <c r="D79" s="126"/>
    </row>
    <row r="80" spans="3:4">
      <c r="C80" s="126"/>
      <c r="D80" s="126"/>
    </row>
    <row r="81" spans="3:4">
      <c r="C81" s="126"/>
      <c r="D81" s="126"/>
    </row>
    <row r="82" spans="3:4">
      <c r="C82" s="126"/>
      <c r="D82" s="126"/>
    </row>
    <row r="83" spans="3:4">
      <c r="C83" s="126"/>
      <c r="D83" s="126"/>
    </row>
    <row r="84" spans="3:4">
      <c r="C84" s="126"/>
      <c r="D84" s="126"/>
    </row>
    <row r="85" spans="3:4">
      <c r="C85" s="126"/>
      <c r="D85" s="126"/>
    </row>
    <row r="86" spans="3:4">
      <c r="C86" s="126"/>
      <c r="D86" s="126"/>
    </row>
    <row r="87" spans="3:4">
      <c r="C87" s="126"/>
      <c r="D87" s="126"/>
    </row>
    <row r="88" spans="3:4">
      <c r="C88" s="126"/>
      <c r="D88" s="126"/>
    </row>
    <row r="89" spans="3:4">
      <c r="C89" s="126"/>
      <c r="D89" s="126"/>
    </row>
    <row r="90" spans="3:4">
      <c r="C90" s="126"/>
      <c r="D90" s="126"/>
    </row>
    <row r="91" spans="3:4">
      <c r="C91" s="126"/>
      <c r="D91" s="126"/>
    </row>
    <row r="92" spans="3:4">
      <c r="C92" s="126"/>
      <c r="D92" s="126"/>
    </row>
    <row r="93" spans="3:4">
      <c r="C93" s="126"/>
      <c r="D93" s="126"/>
    </row>
    <row r="94" spans="3:4">
      <c r="C94" s="126"/>
      <c r="D94" s="126"/>
    </row>
    <row r="95" spans="3:4">
      <c r="C95" s="126"/>
      <c r="D95" s="126"/>
    </row>
    <row r="96" spans="3:4">
      <c r="C96" s="126"/>
      <c r="D96" s="126"/>
    </row>
    <row r="97" spans="3:4">
      <c r="C97" s="126"/>
      <c r="D97" s="126"/>
    </row>
    <row r="98" spans="3:4">
      <c r="C98" s="126"/>
      <c r="D98" s="126"/>
    </row>
    <row r="99" spans="3:4">
      <c r="C99" s="126"/>
      <c r="D99" s="126"/>
    </row>
    <row r="100" spans="3:4">
      <c r="C100" s="126"/>
      <c r="D100" s="126"/>
    </row>
    <row r="101" spans="3:4">
      <c r="C101" s="126"/>
      <c r="D101" s="126"/>
    </row>
    <row r="102" spans="3:4">
      <c r="C102" s="126"/>
      <c r="D102" s="126"/>
    </row>
    <row r="103" spans="3:4">
      <c r="C103" s="126"/>
      <c r="D103" s="126"/>
    </row>
    <row r="104" spans="3:4">
      <c r="C104" s="126"/>
      <c r="D104" s="126"/>
    </row>
    <row r="105" spans="3:4">
      <c r="C105" s="126"/>
      <c r="D105" s="126"/>
    </row>
    <row r="106" spans="3:4">
      <c r="C106" s="126"/>
      <c r="D106" s="126"/>
    </row>
    <row r="107" spans="3:4">
      <c r="C107" s="126"/>
      <c r="D107" s="126"/>
    </row>
    <row r="108" spans="3:4">
      <c r="C108" s="126"/>
      <c r="D108" s="126"/>
    </row>
    <row r="109" spans="3:4">
      <c r="C109" s="126"/>
      <c r="D109" s="126"/>
    </row>
    <row r="110" spans="3:4">
      <c r="C110" s="126"/>
      <c r="D110" s="126"/>
    </row>
    <row r="111" spans="3:4">
      <c r="C111" s="126"/>
      <c r="D111" s="126"/>
    </row>
    <row r="112" spans="3:4">
      <c r="C112" s="126"/>
      <c r="D112" s="126"/>
    </row>
    <row r="113" spans="3:4">
      <c r="C113" s="126"/>
      <c r="D113" s="126"/>
    </row>
    <row r="114" spans="3:4">
      <c r="C114" s="126"/>
      <c r="D114" s="126"/>
    </row>
    <row r="115" spans="3:4">
      <c r="C115" s="126"/>
      <c r="D115" s="126"/>
    </row>
    <row r="116" spans="3:4">
      <c r="C116" s="126"/>
      <c r="D116" s="126"/>
    </row>
    <row r="117" spans="3:4">
      <c r="C117" s="126"/>
      <c r="D117" s="126"/>
    </row>
    <row r="118" spans="3:4">
      <c r="C118" s="126"/>
      <c r="D118" s="126"/>
    </row>
    <row r="119" spans="3:4">
      <c r="C119" s="126"/>
      <c r="D119" s="126"/>
    </row>
    <row r="120" spans="3:4">
      <c r="C120" s="126"/>
      <c r="D120" s="126"/>
    </row>
    <row r="121" spans="3:4">
      <c r="C121" s="126"/>
      <c r="D121" s="126"/>
    </row>
    <row r="122" spans="3:4">
      <c r="C122" s="126"/>
      <c r="D122" s="126"/>
    </row>
    <row r="123" spans="3:4">
      <c r="C123" s="126"/>
      <c r="D123" s="126"/>
    </row>
    <row r="124" spans="3:4">
      <c r="C124" s="126"/>
      <c r="D124" s="126"/>
    </row>
    <row r="125" spans="3:4">
      <c r="C125" s="126"/>
      <c r="D125" s="126"/>
    </row>
    <row r="126" spans="3:4">
      <c r="C126" s="126"/>
      <c r="D126" s="126"/>
    </row>
    <row r="127" spans="3:4">
      <c r="C127" s="126"/>
      <c r="D127" s="126"/>
    </row>
    <row r="128" spans="3:4">
      <c r="C128" s="126"/>
      <c r="D128" s="126"/>
    </row>
    <row r="129" spans="3:4">
      <c r="C129" s="126"/>
      <c r="D129" s="126"/>
    </row>
    <row r="130" spans="3:4">
      <c r="C130" s="126"/>
      <c r="D130" s="126"/>
    </row>
    <row r="131" spans="3:4">
      <c r="C131" s="126"/>
      <c r="D131" s="126"/>
    </row>
    <row r="132" spans="3:4">
      <c r="C132" s="126"/>
      <c r="D132" s="126"/>
    </row>
    <row r="133" spans="3:4">
      <c r="C133" s="126"/>
      <c r="D133" s="126"/>
    </row>
    <row r="134" spans="3:4">
      <c r="C134" s="126"/>
      <c r="D134" s="126"/>
    </row>
    <row r="135" spans="3:4">
      <c r="C135" s="126"/>
      <c r="D135" s="126"/>
    </row>
    <row r="136" spans="3:4">
      <c r="C136" s="126"/>
      <c r="D136" s="126"/>
    </row>
    <row r="137" spans="3:4">
      <c r="C137" s="126"/>
      <c r="D137" s="126"/>
    </row>
    <row r="138" spans="3:4">
      <c r="C138" s="126"/>
      <c r="D138" s="126"/>
    </row>
    <row r="139" spans="3:4">
      <c r="C139" s="126"/>
      <c r="D139" s="126"/>
    </row>
    <row r="140" spans="3:4">
      <c r="C140" s="126"/>
      <c r="D140" s="126"/>
    </row>
    <row r="141" spans="3:4">
      <c r="C141" s="126"/>
      <c r="D141" s="126"/>
    </row>
    <row r="142" spans="3:4">
      <c r="C142" s="126"/>
      <c r="D142" s="126"/>
    </row>
    <row r="143" spans="3:4">
      <c r="C143" s="126"/>
      <c r="D143" s="126"/>
    </row>
    <row r="144" spans="3:4">
      <c r="C144" s="126"/>
      <c r="D144" s="126"/>
    </row>
    <row r="145" spans="3:4">
      <c r="C145" s="126"/>
      <c r="D145" s="126"/>
    </row>
    <row r="146" spans="3:4">
      <c r="C146" s="126"/>
      <c r="D146" s="126"/>
    </row>
    <row r="147" spans="3:4">
      <c r="C147" s="126"/>
      <c r="D147" s="126"/>
    </row>
    <row r="148" spans="3:4">
      <c r="C148" s="126"/>
      <c r="D148" s="126"/>
    </row>
    <row r="149" spans="3:4">
      <c r="C149" s="126"/>
      <c r="D149" s="126"/>
    </row>
    <row r="150" spans="3:4">
      <c r="C150" s="126"/>
      <c r="D150" s="126"/>
    </row>
    <row r="151" spans="3:4">
      <c r="C151" s="126"/>
      <c r="D151" s="126"/>
    </row>
    <row r="152" spans="3:4">
      <c r="C152" s="126"/>
      <c r="D152" s="126"/>
    </row>
    <row r="153" spans="3:4">
      <c r="C153" s="126"/>
      <c r="D153" s="126"/>
    </row>
    <row r="154" spans="3:4">
      <c r="C154" s="126"/>
      <c r="D154" s="126"/>
    </row>
    <row r="155" spans="3:4">
      <c r="C155" s="126"/>
      <c r="D155" s="126"/>
    </row>
    <row r="156" spans="3:4">
      <c r="C156" s="126"/>
      <c r="D156" s="126"/>
    </row>
    <row r="157" spans="3:4">
      <c r="C157" s="126"/>
      <c r="D157" s="126"/>
    </row>
    <row r="158" spans="3:4">
      <c r="C158" s="126"/>
      <c r="D158" s="126"/>
    </row>
    <row r="159" spans="3:4">
      <c r="C159" s="126"/>
      <c r="D159" s="126"/>
    </row>
    <row r="160" spans="3:4">
      <c r="C160" s="126"/>
      <c r="D160" s="126"/>
    </row>
    <row r="161" spans="3:4">
      <c r="C161" s="126"/>
      <c r="D161" s="126"/>
    </row>
    <row r="162" spans="3:4">
      <c r="C162" s="126"/>
      <c r="D162" s="126"/>
    </row>
    <row r="163" spans="3:4">
      <c r="C163" s="126"/>
      <c r="D163" s="126"/>
    </row>
    <row r="164" spans="3:4">
      <c r="C164" s="126"/>
      <c r="D164" s="126"/>
    </row>
    <row r="165" spans="3:4">
      <c r="C165" s="126"/>
      <c r="D165" s="126"/>
    </row>
    <row r="166" spans="3:4">
      <c r="C166" s="126"/>
      <c r="D166" s="126"/>
    </row>
    <row r="167" spans="3:4">
      <c r="C167" s="126"/>
      <c r="D167" s="126"/>
    </row>
    <row r="168" spans="3:4">
      <c r="C168" s="126"/>
      <c r="D168" s="126"/>
    </row>
    <row r="169" spans="3:4">
      <c r="C169" s="126"/>
      <c r="D169" s="126"/>
    </row>
    <row r="170" spans="3:4">
      <c r="C170" s="126"/>
      <c r="D170" s="126"/>
    </row>
    <row r="171" spans="3:4">
      <c r="C171" s="126"/>
      <c r="D171" s="126"/>
    </row>
    <row r="172" spans="3:4">
      <c r="C172" s="126"/>
      <c r="D172" s="126"/>
    </row>
    <row r="173" spans="3:4">
      <c r="C173" s="126"/>
      <c r="D173" s="126"/>
    </row>
    <row r="174" spans="3:4">
      <c r="C174" s="126"/>
      <c r="D174" s="126"/>
    </row>
    <row r="175" spans="3:4">
      <c r="C175" s="126"/>
      <c r="D175" s="126"/>
    </row>
    <row r="176" spans="3:4">
      <c r="C176" s="126"/>
      <c r="D176" s="126"/>
    </row>
    <row r="177" spans="3:4">
      <c r="C177" s="126"/>
      <c r="D177" s="126"/>
    </row>
    <row r="178" spans="3:4">
      <c r="C178" s="126"/>
      <c r="D178" s="126"/>
    </row>
    <row r="179" spans="3:4">
      <c r="C179" s="126"/>
      <c r="D179" s="126"/>
    </row>
    <row r="180" spans="3:4">
      <c r="C180" s="126"/>
      <c r="D180" s="126"/>
    </row>
    <row r="181" spans="3:4">
      <c r="C181" s="126"/>
      <c r="D181" s="126"/>
    </row>
    <row r="182" spans="3:4">
      <c r="C182" s="126"/>
      <c r="D182" s="126"/>
    </row>
    <row r="183" spans="3:4">
      <c r="C183" s="126"/>
      <c r="D183" s="126"/>
    </row>
    <row r="184" spans="3:4">
      <c r="C184" s="126"/>
      <c r="D184" s="126"/>
    </row>
    <row r="185" spans="3:4">
      <c r="C185" s="126"/>
      <c r="D185" s="126"/>
    </row>
    <row r="186" spans="3:4">
      <c r="C186" s="126"/>
      <c r="D186" s="126"/>
    </row>
    <row r="187" spans="3:4">
      <c r="C187" s="126"/>
      <c r="D187" s="126"/>
    </row>
    <row r="188" spans="3:4">
      <c r="C188" s="126"/>
      <c r="D188" s="126"/>
    </row>
    <row r="189" spans="3:4">
      <c r="C189" s="126"/>
      <c r="D189" s="126"/>
    </row>
    <row r="190" spans="3:4">
      <c r="C190" s="126"/>
      <c r="D190" s="126"/>
    </row>
    <row r="191" spans="3:4">
      <c r="C191" s="126"/>
      <c r="D191" s="126"/>
    </row>
    <row r="192" spans="3:4">
      <c r="C192" s="126"/>
      <c r="D192" s="126"/>
    </row>
    <row r="193" spans="3:4">
      <c r="C193" s="126"/>
      <c r="D193" s="126"/>
    </row>
    <row r="194" spans="3:4">
      <c r="C194" s="126"/>
      <c r="D194" s="126"/>
    </row>
    <row r="195" spans="3:4">
      <c r="C195" s="126"/>
      <c r="D195" s="126"/>
    </row>
    <row r="196" spans="3:4">
      <c r="C196" s="126"/>
      <c r="D196" s="126"/>
    </row>
    <row r="197" spans="3:4">
      <c r="C197" s="126"/>
      <c r="D197" s="126"/>
    </row>
    <row r="198" spans="3:4">
      <c r="C198" s="126"/>
      <c r="D198" s="126"/>
    </row>
    <row r="199" spans="3:4">
      <c r="C199" s="126"/>
      <c r="D199" s="126"/>
    </row>
    <row r="200" spans="3:4">
      <c r="C200" s="126"/>
      <c r="D200" s="126"/>
    </row>
    <row r="201" spans="3:4">
      <c r="C201" s="126"/>
      <c r="D201" s="126"/>
    </row>
    <row r="202" spans="3:4">
      <c r="C202" s="126"/>
      <c r="D202" s="126"/>
    </row>
    <row r="203" spans="3:4">
      <c r="C203" s="126"/>
      <c r="D203" s="126"/>
    </row>
    <row r="204" spans="3:4">
      <c r="C204" s="126"/>
      <c r="D204" s="126"/>
    </row>
    <row r="205" spans="3:4">
      <c r="C205" s="126"/>
      <c r="D205" s="126"/>
    </row>
    <row r="206" spans="3:4">
      <c r="C206" s="126"/>
      <c r="D206" s="126"/>
    </row>
    <row r="207" spans="3:4">
      <c r="C207" s="126"/>
      <c r="D207" s="126"/>
    </row>
    <row r="208" spans="3:4">
      <c r="C208" s="126"/>
      <c r="D208" s="126"/>
    </row>
    <row r="209" spans="3:4">
      <c r="C209" s="126"/>
      <c r="D209" s="126"/>
    </row>
    <row r="210" spans="3:4">
      <c r="C210" s="126"/>
      <c r="D210" s="126"/>
    </row>
    <row r="211" spans="3:4">
      <c r="C211" s="126"/>
      <c r="D211" s="126"/>
    </row>
    <row r="212" spans="3:4">
      <c r="C212" s="126"/>
      <c r="D212" s="126"/>
    </row>
    <row r="213" spans="3:4">
      <c r="C213" s="126"/>
      <c r="D213" s="126"/>
    </row>
    <row r="214" spans="3:4">
      <c r="C214" s="126"/>
      <c r="D214" s="126"/>
    </row>
    <row r="215" spans="3:4">
      <c r="C215" s="126"/>
      <c r="D215" s="126"/>
    </row>
    <row r="216" spans="3:4">
      <c r="C216" s="126"/>
      <c r="D216" s="126"/>
    </row>
    <row r="217" spans="3:4">
      <c r="C217" s="126"/>
      <c r="D217" s="126"/>
    </row>
    <row r="218" spans="3:4">
      <c r="C218" s="126"/>
      <c r="D218" s="126"/>
    </row>
    <row r="219" spans="3:4">
      <c r="C219" s="126"/>
      <c r="D219" s="126"/>
    </row>
    <row r="220" spans="3:4">
      <c r="C220" s="126"/>
      <c r="D220" s="126"/>
    </row>
    <row r="221" spans="3:4">
      <c r="C221" s="126"/>
      <c r="D221" s="126"/>
    </row>
    <row r="222" spans="3:4">
      <c r="C222" s="126"/>
      <c r="D222" s="126"/>
    </row>
    <row r="223" spans="3:4">
      <c r="C223" s="126"/>
      <c r="D223" s="126"/>
    </row>
    <row r="224" spans="3:4">
      <c r="C224" s="126"/>
      <c r="D224" s="126"/>
    </row>
    <row r="225" spans="3:4">
      <c r="C225" s="126"/>
      <c r="D225" s="126"/>
    </row>
    <row r="226" spans="3:4">
      <c r="C226" s="126"/>
      <c r="D226" s="126"/>
    </row>
    <row r="227" spans="3:4">
      <c r="C227" s="126"/>
      <c r="D227" s="126"/>
    </row>
    <row r="228" spans="3:4">
      <c r="C228" s="126"/>
      <c r="D228" s="126"/>
    </row>
    <row r="229" spans="3:4">
      <c r="C229" s="126"/>
      <c r="D229" s="126"/>
    </row>
    <row r="230" spans="3:4">
      <c r="C230" s="126"/>
      <c r="D230" s="126"/>
    </row>
    <row r="231" spans="3:4">
      <c r="C231" s="126"/>
      <c r="D231" s="126"/>
    </row>
    <row r="232" spans="3:4">
      <c r="C232" s="126"/>
      <c r="D232" s="126"/>
    </row>
    <row r="233" spans="3:4">
      <c r="C233" s="126"/>
      <c r="D233" s="126"/>
    </row>
    <row r="234" spans="3:4">
      <c r="C234" s="126"/>
      <c r="D234" s="126"/>
    </row>
    <row r="235" spans="3:4">
      <c r="C235" s="126"/>
      <c r="D235" s="126"/>
    </row>
    <row r="236" spans="3:4">
      <c r="C236" s="126"/>
      <c r="D236" s="126"/>
    </row>
    <row r="237" spans="3:4">
      <c r="C237" s="126"/>
      <c r="D237" s="126"/>
    </row>
    <row r="238" spans="3:4">
      <c r="C238" s="126"/>
      <c r="D238" s="126"/>
    </row>
    <row r="239" spans="3:4">
      <c r="C239" s="126"/>
      <c r="D239" s="126"/>
    </row>
    <row r="240" spans="3:4">
      <c r="C240" s="126"/>
      <c r="D240" s="126"/>
    </row>
    <row r="241" spans="3:4">
      <c r="C241" s="126"/>
      <c r="D241" s="126"/>
    </row>
    <row r="242" spans="3:4">
      <c r="C242" s="126"/>
      <c r="D242" s="126"/>
    </row>
    <row r="243" spans="3:4">
      <c r="C243" s="126"/>
      <c r="D243" s="126"/>
    </row>
    <row r="244" spans="3:4">
      <c r="C244" s="126"/>
      <c r="D244" s="126"/>
    </row>
    <row r="245" spans="3:4">
      <c r="C245" s="126"/>
      <c r="D245" s="126"/>
    </row>
    <row r="246" spans="3:4">
      <c r="C246" s="126"/>
      <c r="D246" s="126"/>
    </row>
    <row r="247" spans="3:4">
      <c r="C247" s="126"/>
      <c r="D247" s="126"/>
    </row>
    <row r="248" spans="3:4">
      <c r="C248" s="126"/>
      <c r="D248" s="126"/>
    </row>
    <row r="249" spans="3:4">
      <c r="C249" s="126"/>
      <c r="D249" s="126"/>
    </row>
    <row r="250" spans="3:4">
      <c r="C250" s="126"/>
      <c r="D250" s="126"/>
    </row>
    <row r="251" spans="3:4">
      <c r="C251" s="126"/>
      <c r="D251" s="126"/>
    </row>
    <row r="252" spans="3:4">
      <c r="C252" s="126"/>
      <c r="D252" s="126"/>
    </row>
    <row r="253" spans="3:4">
      <c r="C253" s="126"/>
      <c r="D253" s="126"/>
    </row>
    <row r="254" spans="3:4">
      <c r="C254" s="126"/>
      <c r="D254" s="126"/>
    </row>
    <row r="255" spans="3:4">
      <c r="C255" s="126"/>
      <c r="D255" s="126"/>
    </row>
    <row r="256" spans="3:4">
      <c r="C256" s="126"/>
      <c r="D256" s="126"/>
    </row>
    <row r="257" spans="3:4">
      <c r="C257" s="126"/>
      <c r="D257" s="126"/>
    </row>
    <row r="258" spans="3:4">
      <c r="C258" s="126"/>
      <c r="D258" s="126"/>
    </row>
    <row r="259" spans="3:4">
      <c r="C259" s="126"/>
      <c r="D259" s="126"/>
    </row>
    <row r="260" spans="3:4">
      <c r="C260" s="126"/>
      <c r="D260" s="126"/>
    </row>
    <row r="261" spans="3:4">
      <c r="C261" s="126"/>
      <c r="D261" s="126"/>
    </row>
    <row r="262" spans="3:4">
      <c r="C262" s="126"/>
      <c r="D262" s="126"/>
    </row>
    <row r="263" spans="3:4">
      <c r="C263" s="126"/>
      <c r="D263" s="126"/>
    </row>
    <row r="264" spans="3:4">
      <c r="C264" s="126"/>
      <c r="D264" s="126"/>
    </row>
    <row r="265" spans="3:4">
      <c r="C265" s="126"/>
      <c r="D265" s="126"/>
    </row>
    <row r="266" spans="3:4">
      <c r="C266" s="126"/>
      <c r="D266" s="126"/>
    </row>
    <row r="267" spans="3:4">
      <c r="C267" s="126"/>
      <c r="D267" s="126"/>
    </row>
    <row r="268" spans="3:4">
      <c r="C268" s="126"/>
      <c r="D268" s="126"/>
    </row>
    <row r="269" spans="3:4">
      <c r="C269" s="126"/>
      <c r="D269" s="126"/>
    </row>
    <row r="270" spans="3:4">
      <c r="C270" s="126"/>
      <c r="D270" s="126"/>
    </row>
    <row r="271" spans="3:4">
      <c r="C271" s="126"/>
      <c r="D271" s="126"/>
    </row>
    <row r="272" spans="3:4">
      <c r="C272" s="126"/>
      <c r="D272" s="126"/>
    </row>
    <row r="273" spans="3:4">
      <c r="C273" s="126"/>
      <c r="D273" s="126"/>
    </row>
    <row r="274" spans="3:4">
      <c r="C274" s="126"/>
      <c r="D274" s="126"/>
    </row>
    <row r="275" spans="3:4">
      <c r="C275" s="126"/>
      <c r="D275" s="126"/>
    </row>
    <row r="276" spans="3:4">
      <c r="C276" s="126"/>
      <c r="D276" s="126"/>
    </row>
    <row r="277" spans="3:4">
      <c r="C277" s="126"/>
      <c r="D277" s="126"/>
    </row>
    <row r="278" spans="3:4">
      <c r="C278" s="126"/>
      <c r="D278" s="126"/>
    </row>
    <row r="279" spans="3:4">
      <c r="C279" s="126"/>
      <c r="D279" s="126"/>
    </row>
    <row r="280" spans="3:4">
      <c r="C280" s="126"/>
      <c r="D280" s="126"/>
    </row>
    <row r="281" spans="3:4">
      <c r="C281" s="126"/>
      <c r="D281" s="126"/>
    </row>
    <row r="282" spans="3:4">
      <c r="C282" s="126"/>
      <c r="D282" s="126"/>
    </row>
    <row r="283" spans="3:4">
      <c r="C283" s="126"/>
      <c r="D283" s="126"/>
    </row>
    <row r="284" spans="3:4">
      <c r="C284" s="126"/>
      <c r="D284" s="126"/>
    </row>
    <row r="285" spans="3:4">
      <c r="C285" s="126"/>
      <c r="D285" s="126"/>
    </row>
    <row r="286" spans="3:4">
      <c r="C286" s="126"/>
      <c r="D286" s="126"/>
    </row>
    <row r="287" spans="3:4">
      <c r="C287" s="126"/>
      <c r="D287" s="126"/>
    </row>
    <row r="288" spans="3:4">
      <c r="C288" s="126"/>
      <c r="D288" s="126"/>
    </row>
    <row r="289" spans="3:4">
      <c r="C289" s="126"/>
      <c r="D289" s="126"/>
    </row>
    <row r="290" spans="3:4">
      <c r="C290" s="126"/>
      <c r="D290" s="126"/>
    </row>
    <row r="291" spans="3:4">
      <c r="C291" s="126"/>
      <c r="D291" s="126"/>
    </row>
    <row r="292" spans="3:4">
      <c r="C292" s="126"/>
      <c r="D292" s="126"/>
    </row>
    <row r="293" spans="3:4">
      <c r="C293" s="126"/>
      <c r="D293" s="126"/>
    </row>
    <row r="294" spans="3:4">
      <c r="C294" s="126"/>
      <c r="D294" s="126"/>
    </row>
    <row r="295" spans="3:4">
      <c r="C295" s="126"/>
      <c r="D295" s="126"/>
    </row>
    <row r="296" spans="3:4">
      <c r="C296" s="126"/>
      <c r="D296" s="126"/>
    </row>
    <row r="297" spans="3:4">
      <c r="C297" s="126"/>
      <c r="D297" s="126"/>
    </row>
    <row r="298" spans="3:4">
      <c r="C298" s="126"/>
      <c r="D298" s="126"/>
    </row>
    <row r="299" spans="3:4">
      <c r="C299" s="126"/>
      <c r="D299" s="126"/>
    </row>
    <row r="300" spans="3:4">
      <c r="C300" s="126"/>
      <c r="D300" s="126"/>
    </row>
    <row r="301" spans="3:4">
      <c r="C301" s="126"/>
      <c r="D301" s="126"/>
    </row>
    <row r="302" spans="3:4">
      <c r="C302" s="126"/>
      <c r="D302" s="126"/>
    </row>
    <row r="303" spans="3:4">
      <c r="C303" s="126"/>
      <c r="D303" s="126"/>
    </row>
    <row r="304" spans="3:4">
      <c r="C304" s="126"/>
      <c r="D304" s="126"/>
    </row>
    <row r="305" spans="3:4">
      <c r="C305" s="126"/>
      <c r="D305" s="126"/>
    </row>
    <row r="306" spans="3:4">
      <c r="C306" s="126"/>
      <c r="D306" s="126"/>
    </row>
    <row r="307" spans="3:4">
      <c r="C307" s="126"/>
      <c r="D307" s="126"/>
    </row>
    <row r="308" spans="3:4">
      <c r="C308" s="126"/>
      <c r="D308" s="126"/>
    </row>
    <row r="309" spans="3:4">
      <c r="C309" s="126"/>
      <c r="D309" s="126"/>
    </row>
    <row r="310" spans="3:4">
      <c r="C310" s="126"/>
      <c r="D310" s="126"/>
    </row>
    <row r="311" spans="3:4">
      <c r="C311" s="126"/>
      <c r="D311" s="126"/>
    </row>
    <row r="312" spans="3:4">
      <c r="C312" s="126"/>
      <c r="D312" s="126"/>
    </row>
    <row r="313" spans="3:4">
      <c r="C313" s="126"/>
      <c r="D313" s="126"/>
    </row>
    <row r="314" spans="3:4">
      <c r="C314" s="126"/>
      <c r="D314" s="126"/>
    </row>
    <row r="315" spans="3:4">
      <c r="C315" s="126"/>
      <c r="D315" s="126"/>
    </row>
    <row r="316" spans="3:4">
      <c r="C316" s="126"/>
      <c r="D316" s="126"/>
    </row>
    <row r="317" spans="3:4">
      <c r="C317" s="126"/>
      <c r="D317" s="126"/>
    </row>
    <row r="318" spans="3:4">
      <c r="C318" s="126"/>
      <c r="D318" s="126"/>
    </row>
    <row r="319" spans="3:4">
      <c r="C319" s="126"/>
      <c r="D319" s="126"/>
    </row>
    <row r="320" spans="3:4">
      <c r="C320" s="126"/>
      <c r="D320" s="126"/>
    </row>
    <row r="321" spans="3:4">
      <c r="C321" s="126"/>
      <c r="D321" s="126"/>
    </row>
    <row r="322" spans="3:4">
      <c r="C322" s="126"/>
      <c r="D322" s="126"/>
    </row>
    <row r="323" spans="3:4">
      <c r="C323" s="126"/>
      <c r="D323" s="126"/>
    </row>
    <row r="324" spans="3:4">
      <c r="C324" s="126"/>
      <c r="D324" s="126"/>
    </row>
    <row r="325" spans="3:4">
      <c r="C325" s="126"/>
      <c r="D325" s="126"/>
    </row>
    <row r="326" spans="3:4">
      <c r="C326" s="126"/>
      <c r="D326" s="126"/>
    </row>
    <row r="327" spans="3:4">
      <c r="C327" s="126"/>
      <c r="D327" s="126"/>
    </row>
    <row r="328" spans="3:4">
      <c r="C328" s="126"/>
      <c r="D328" s="126"/>
    </row>
    <row r="329" spans="3:4">
      <c r="C329" s="126"/>
      <c r="D329" s="126"/>
    </row>
    <row r="330" spans="3:4">
      <c r="C330" s="126"/>
      <c r="D330" s="126"/>
    </row>
    <row r="331" spans="3:4">
      <c r="C331" s="126"/>
      <c r="D331" s="126"/>
    </row>
    <row r="332" spans="3:4">
      <c r="C332" s="126"/>
      <c r="D332" s="126"/>
    </row>
    <row r="333" spans="3:4">
      <c r="C333" s="126"/>
      <c r="D333" s="126"/>
    </row>
    <row r="334" spans="3:4">
      <c r="C334" s="126"/>
      <c r="D334" s="126"/>
    </row>
    <row r="335" spans="3:4">
      <c r="C335" s="126"/>
      <c r="D335" s="126"/>
    </row>
    <row r="336" spans="3:4">
      <c r="C336" s="126"/>
      <c r="D336" s="126"/>
    </row>
    <row r="337" spans="3:4">
      <c r="C337" s="126"/>
      <c r="D337" s="126"/>
    </row>
    <row r="338" spans="3:4">
      <c r="C338" s="126"/>
      <c r="D338" s="126"/>
    </row>
    <row r="339" spans="3:4">
      <c r="C339" s="126"/>
      <c r="D339" s="126"/>
    </row>
    <row r="340" spans="3:4">
      <c r="C340" s="126"/>
      <c r="D340" s="126"/>
    </row>
    <row r="341" spans="3:4">
      <c r="C341" s="126"/>
      <c r="D341" s="126"/>
    </row>
    <row r="342" spans="3:4">
      <c r="C342" s="126"/>
      <c r="D342" s="126"/>
    </row>
    <row r="343" spans="3:4">
      <c r="C343" s="126"/>
      <c r="D343" s="126"/>
    </row>
    <row r="344" spans="3:4">
      <c r="C344" s="126"/>
      <c r="D344" s="126"/>
    </row>
    <row r="345" spans="3:4">
      <c r="C345" s="126"/>
      <c r="D345" s="126"/>
    </row>
    <row r="346" spans="3:4">
      <c r="C346" s="126"/>
      <c r="D346" s="126"/>
    </row>
    <row r="347" spans="3:4">
      <c r="C347" s="126"/>
      <c r="D347" s="126"/>
    </row>
    <row r="348" spans="3:4">
      <c r="C348" s="126"/>
      <c r="D348" s="126"/>
    </row>
    <row r="349" spans="3:4">
      <c r="C349" s="126"/>
      <c r="D349" s="126"/>
    </row>
    <row r="350" spans="3:4">
      <c r="C350" s="126"/>
      <c r="D350" s="126"/>
    </row>
    <row r="351" spans="3:4">
      <c r="C351" s="126"/>
      <c r="D351" s="126"/>
    </row>
    <row r="352" spans="3:4">
      <c r="C352" s="126"/>
      <c r="D352" s="126"/>
    </row>
    <row r="353" spans="3:4">
      <c r="C353" s="126"/>
      <c r="D353" s="126"/>
    </row>
    <row r="354" spans="3:4">
      <c r="C354" s="126"/>
      <c r="D354" s="126"/>
    </row>
    <row r="355" spans="3:4">
      <c r="C355" s="126"/>
      <c r="D355" s="126"/>
    </row>
    <row r="356" spans="3:4">
      <c r="C356" s="126"/>
      <c r="D356" s="126"/>
    </row>
    <row r="357" spans="3:4">
      <c r="C357" s="126"/>
      <c r="D357" s="126"/>
    </row>
    <row r="358" spans="3:4">
      <c r="C358" s="126"/>
      <c r="D358" s="126"/>
    </row>
    <row r="359" spans="3:4">
      <c r="C359" s="126"/>
      <c r="D359" s="126"/>
    </row>
    <row r="360" spans="3:4">
      <c r="C360" s="126"/>
      <c r="D360" s="126"/>
    </row>
    <row r="361" spans="3:4">
      <c r="C361" s="126"/>
      <c r="D361" s="126"/>
    </row>
    <row r="362" spans="3:4">
      <c r="C362" s="126"/>
      <c r="D362" s="126"/>
    </row>
    <row r="363" spans="3:4">
      <c r="C363" s="126"/>
      <c r="D363" s="126"/>
    </row>
    <row r="364" spans="3:4">
      <c r="C364" s="126"/>
      <c r="D364" s="126"/>
    </row>
    <row r="365" spans="3:4">
      <c r="C365" s="126"/>
      <c r="D365" s="126"/>
    </row>
    <row r="366" spans="3:4">
      <c r="C366" s="126"/>
      <c r="D366" s="126"/>
    </row>
    <row r="367" spans="3:4">
      <c r="C367" s="126"/>
      <c r="D367" s="126"/>
    </row>
    <row r="368" spans="3:4">
      <c r="C368" s="126"/>
      <c r="D368" s="126"/>
    </row>
    <row r="369" spans="3:4">
      <c r="C369" s="126"/>
      <c r="D369" s="126"/>
    </row>
    <row r="370" spans="3:4">
      <c r="C370" s="126"/>
      <c r="D370" s="126"/>
    </row>
    <row r="371" spans="3:4">
      <c r="C371" s="126"/>
      <c r="D371" s="126"/>
    </row>
    <row r="372" spans="3:4">
      <c r="C372" s="126"/>
      <c r="D372" s="126"/>
    </row>
    <row r="373" spans="3:4">
      <c r="C373" s="126"/>
      <c r="D373" s="126"/>
    </row>
    <row r="374" spans="3:4">
      <c r="C374" s="126"/>
      <c r="D374" s="126"/>
    </row>
    <row r="375" spans="3:4">
      <c r="C375" s="126"/>
      <c r="D375" s="126"/>
    </row>
    <row r="376" spans="3:4">
      <c r="C376" s="126"/>
      <c r="D376" s="126"/>
    </row>
    <row r="377" spans="3:4">
      <c r="C377" s="126"/>
      <c r="D377" s="126"/>
    </row>
    <row r="378" spans="3:4">
      <c r="C378" s="126"/>
      <c r="D378" s="126"/>
    </row>
    <row r="379" spans="3:4">
      <c r="C379" s="126"/>
      <c r="D379" s="126"/>
    </row>
    <row r="380" spans="3:4">
      <c r="C380" s="126"/>
      <c r="D380" s="126"/>
    </row>
    <row r="381" spans="3:4">
      <c r="C381" s="126"/>
      <c r="D381" s="126"/>
    </row>
    <row r="382" spans="3:4">
      <c r="C382" s="126"/>
      <c r="D382" s="126"/>
    </row>
    <row r="383" spans="3:4">
      <c r="C383" s="126"/>
      <c r="D383" s="126"/>
    </row>
    <row r="384" spans="3:4">
      <c r="C384" s="126"/>
      <c r="D384" s="126"/>
    </row>
    <row r="385" spans="3:4">
      <c r="C385" s="126"/>
      <c r="D385" s="126"/>
    </row>
    <row r="386" spans="3:4">
      <c r="C386" s="126"/>
      <c r="D386" s="126"/>
    </row>
    <row r="387" spans="3:4">
      <c r="C387" s="126"/>
      <c r="D387" s="126"/>
    </row>
    <row r="388" spans="3:4">
      <c r="C388" s="126"/>
      <c r="D388" s="126"/>
    </row>
    <row r="389" spans="3:4">
      <c r="C389" s="126"/>
      <c r="D389" s="126"/>
    </row>
    <row r="390" spans="3:4">
      <c r="C390" s="126"/>
      <c r="D390" s="126"/>
    </row>
    <row r="391" spans="3:4">
      <c r="C391" s="126"/>
      <c r="D391" s="126"/>
    </row>
    <row r="392" spans="3:4">
      <c r="C392" s="126"/>
      <c r="D392" s="126"/>
    </row>
    <row r="393" spans="3:4">
      <c r="C393" s="126"/>
      <c r="D393" s="126"/>
    </row>
    <row r="394" spans="3:4">
      <c r="C394" s="126"/>
      <c r="D394" s="126"/>
    </row>
    <row r="395" spans="3:4">
      <c r="C395" s="126"/>
      <c r="D395" s="126"/>
    </row>
    <row r="396" spans="3:4">
      <c r="C396" s="126"/>
      <c r="D396" s="126"/>
    </row>
    <row r="397" spans="3:4">
      <c r="C397" s="126"/>
      <c r="D397" s="126"/>
    </row>
    <row r="398" spans="3:4">
      <c r="C398" s="126"/>
      <c r="D398" s="126"/>
    </row>
    <row r="399" spans="3:4">
      <c r="C399" s="126"/>
      <c r="D399" s="126"/>
    </row>
    <row r="400" spans="3:4">
      <c r="C400" s="126"/>
      <c r="D400" s="126"/>
    </row>
    <row r="401" spans="3:4">
      <c r="C401" s="126"/>
      <c r="D401" s="126"/>
    </row>
    <row r="402" spans="3:4">
      <c r="C402" s="126"/>
      <c r="D402" s="126"/>
    </row>
    <row r="403" spans="3:4">
      <c r="C403" s="126"/>
      <c r="D403" s="126"/>
    </row>
    <row r="404" spans="3:4">
      <c r="C404" s="126"/>
      <c r="D404" s="126"/>
    </row>
    <row r="405" spans="3:4">
      <c r="C405" s="126"/>
      <c r="D405" s="126"/>
    </row>
    <row r="406" spans="3:4">
      <c r="C406" s="126"/>
      <c r="D406" s="126"/>
    </row>
    <row r="407" spans="3:4">
      <c r="C407" s="126"/>
      <c r="D407" s="126"/>
    </row>
    <row r="408" spans="3:4">
      <c r="C408" s="126"/>
      <c r="D408" s="126"/>
    </row>
    <row r="409" spans="3:4">
      <c r="C409" s="126"/>
      <c r="D409" s="126"/>
    </row>
    <row r="410" spans="3:4">
      <c r="C410" s="126"/>
      <c r="D410" s="126"/>
    </row>
    <row r="411" spans="3:4">
      <c r="C411" s="126"/>
      <c r="D411" s="126"/>
    </row>
    <row r="412" spans="3:4">
      <c r="C412" s="126"/>
      <c r="D412" s="126"/>
    </row>
    <row r="413" spans="3:4">
      <c r="C413" s="126"/>
      <c r="D413" s="126"/>
    </row>
    <row r="414" spans="3:4">
      <c r="C414" s="126"/>
      <c r="D414" s="126"/>
    </row>
    <row r="415" spans="3:4">
      <c r="C415" s="126"/>
      <c r="D415" s="126"/>
    </row>
    <row r="416" spans="3:4">
      <c r="C416" s="126"/>
      <c r="D416" s="126"/>
    </row>
    <row r="417" spans="3:4">
      <c r="C417" s="126"/>
      <c r="D417" s="126"/>
    </row>
    <row r="418" spans="3:4">
      <c r="C418" s="126"/>
      <c r="D418" s="126"/>
    </row>
    <row r="419" spans="3:4">
      <c r="C419" s="126"/>
      <c r="D419" s="126"/>
    </row>
    <row r="420" spans="3:4">
      <c r="C420" s="126"/>
      <c r="D420" s="126"/>
    </row>
    <row r="421" spans="3:4">
      <c r="C421" s="126"/>
      <c r="D421" s="126"/>
    </row>
    <row r="422" spans="3:4">
      <c r="C422" s="126"/>
      <c r="D422" s="126"/>
    </row>
    <row r="423" spans="3:4">
      <c r="C423" s="126"/>
      <c r="D423" s="126"/>
    </row>
    <row r="424" spans="3:4">
      <c r="C424" s="126"/>
      <c r="D424" s="126"/>
    </row>
    <row r="425" spans="3:4">
      <c r="C425" s="126"/>
      <c r="D425" s="126"/>
    </row>
    <row r="426" spans="3:4">
      <c r="C426" s="126"/>
      <c r="D426" s="126"/>
    </row>
    <row r="427" spans="3:4">
      <c r="C427" s="126"/>
      <c r="D427" s="126"/>
    </row>
    <row r="428" spans="3:4">
      <c r="C428" s="126"/>
      <c r="D428" s="126"/>
    </row>
    <row r="429" spans="3:4">
      <c r="C429" s="126"/>
      <c r="D429" s="126"/>
    </row>
    <row r="430" spans="3:4">
      <c r="C430" s="126"/>
      <c r="D430" s="126"/>
    </row>
    <row r="431" spans="3:4">
      <c r="C431" s="126"/>
      <c r="D431" s="126"/>
    </row>
    <row r="432" spans="3:4">
      <c r="C432" s="126"/>
      <c r="D432" s="126"/>
    </row>
    <row r="433" spans="3:4">
      <c r="C433" s="126"/>
      <c r="D433" s="126"/>
    </row>
    <row r="434" spans="3:4">
      <c r="C434" s="126"/>
      <c r="D434" s="126"/>
    </row>
    <row r="435" spans="3:4">
      <c r="C435" s="126"/>
      <c r="D435" s="126"/>
    </row>
    <row r="436" spans="3:4">
      <c r="C436" s="126"/>
      <c r="D436" s="126"/>
    </row>
    <row r="437" spans="3:4">
      <c r="C437" s="126"/>
      <c r="D437" s="126"/>
    </row>
    <row r="438" spans="3:4">
      <c r="C438" s="126"/>
      <c r="D438" s="126"/>
    </row>
    <row r="439" spans="3:4">
      <c r="C439" s="126"/>
      <c r="D439" s="126"/>
    </row>
    <row r="440" spans="3:4">
      <c r="C440" s="126"/>
      <c r="D440" s="126"/>
    </row>
    <row r="441" spans="3:4">
      <c r="C441" s="126"/>
      <c r="D441" s="126"/>
    </row>
    <row r="442" spans="3:4">
      <c r="C442" s="126"/>
      <c r="D442" s="126"/>
    </row>
    <row r="443" spans="3:4">
      <c r="C443" s="126"/>
      <c r="D443" s="126"/>
    </row>
    <row r="444" spans="3:4">
      <c r="C444" s="126"/>
      <c r="D444" s="126"/>
    </row>
    <row r="445" spans="3:4">
      <c r="C445" s="126"/>
      <c r="D445" s="126"/>
    </row>
    <row r="446" spans="3:4">
      <c r="C446" s="126"/>
      <c r="D446" s="126"/>
    </row>
    <row r="447" spans="3:4">
      <c r="C447" s="126"/>
      <c r="D447" s="126"/>
    </row>
    <row r="448" spans="3:4">
      <c r="C448" s="126"/>
      <c r="D448" s="126"/>
    </row>
    <row r="449" spans="3:4">
      <c r="C449" s="126"/>
      <c r="D449" s="126"/>
    </row>
    <row r="450" spans="3:4">
      <c r="C450" s="126"/>
      <c r="D450" s="126"/>
    </row>
    <row r="451" spans="3:4">
      <c r="C451" s="126"/>
      <c r="D451" s="126"/>
    </row>
    <row r="452" spans="3:4">
      <c r="C452" s="126"/>
      <c r="D452" s="126"/>
    </row>
    <row r="453" spans="3:4">
      <c r="C453" s="126"/>
      <c r="D453" s="126"/>
    </row>
    <row r="454" spans="3:4">
      <c r="C454" s="126"/>
      <c r="D454" s="126"/>
    </row>
    <row r="455" spans="3:4">
      <c r="C455" s="126"/>
      <c r="D455" s="126"/>
    </row>
    <row r="456" spans="3:4">
      <c r="C456" s="126"/>
      <c r="D456" s="126"/>
    </row>
    <row r="457" spans="3:4">
      <c r="C457" s="126"/>
      <c r="D457" s="126"/>
    </row>
    <row r="458" spans="3:4">
      <c r="C458" s="126"/>
      <c r="D458" s="126"/>
    </row>
    <row r="459" spans="3:4">
      <c r="C459" s="126"/>
      <c r="D459" s="126"/>
    </row>
    <row r="460" spans="3:4">
      <c r="C460" s="126"/>
      <c r="D460" s="126"/>
    </row>
    <row r="461" spans="3:4">
      <c r="C461" s="126"/>
      <c r="D461" s="126"/>
    </row>
    <row r="462" spans="3:4">
      <c r="C462" s="126"/>
      <c r="D462" s="126"/>
    </row>
    <row r="463" spans="3:4">
      <c r="C463" s="126"/>
      <c r="D463" s="126"/>
    </row>
    <row r="464" spans="3:4">
      <c r="C464" s="126"/>
      <c r="D464" s="126"/>
    </row>
    <row r="465" spans="3:4">
      <c r="C465" s="126"/>
      <c r="D465" s="126"/>
    </row>
    <row r="466" spans="3:4">
      <c r="C466" s="126"/>
      <c r="D466" s="126"/>
    </row>
    <row r="467" spans="3:4">
      <c r="C467" s="126"/>
      <c r="D467" s="126"/>
    </row>
    <row r="468" spans="3:4">
      <c r="C468" s="126"/>
      <c r="D468" s="126"/>
    </row>
    <row r="469" spans="3:4">
      <c r="C469" s="126"/>
      <c r="D469" s="126"/>
    </row>
    <row r="470" spans="3:4">
      <c r="C470" s="126"/>
      <c r="D470" s="126"/>
    </row>
    <row r="471" spans="3:4">
      <c r="C471" s="126"/>
      <c r="D471" s="126"/>
    </row>
    <row r="472" spans="3:4">
      <c r="C472" s="126"/>
      <c r="D472" s="126"/>
    </row>
    <row r="473" spans="3:4">
      <c r="C473" s="126"/>
      <c r="D473" s="126"/>
    </row>
    <row r="474" spans="3:4">
      <c r="C474" s="126"/>
      <c r="D474" s="126"/>
    </row>
    <row r="475" spans="3:4">
      <c r="C475" s="126"/>
      <c r="D475" s="126"/>
    </row>
    <row r="476" spans="3:4">
      <c r="C476" s="126"/>
      <c r="D476" s="126"/>
    </row>
    <row r="477" spans="3:4">
      <c r="C477" s="126"/>
      <c r="D477" s="126"/>
    </row>
    <row r="478" spans="3:4">
      <c r="C478" s="126"/>
      <c r="D478" s="126"/>
    </row>
    <row r="479" spans="3:4">
      <c r="C479" s="126"/>
      <c r="D479" s="126"/>
    </row>
    <row r="480" spans="3:4">
      <c r="C480" s="126"/>
      <c r="D480" s="126"/>
    </row>
    <row r="481" spans="3:4">
      <c r="C481" s="126"/>
      <c r="D481" s="126"/>
    </row>
    <row r="482" spans="3:4">
      <c r="C482" s="126"/>
      <c r="D482" s="126"/>
    </row>
    <row r="483" spans="3:4">
      <c r="C483" s="126"/>
      <c r="D483" s="126"/>
    </row>
    <row r="484" spans="3:4">
      <c r="C484" s="126"/>
      <c r="D484" s="126"/>
    </row>
    <row r="485" spans="3:4">
      <c r="C485" s="126"/>
      <c r="D485" s="126"/>
    </row>
    <row r="486" spans="3:4">
      <c r="C486" s="126"/>
      <c r="D486" s="126"/>
    </row>
    <row r="487" spans="3:4">
      <c r="C487" s="126"/>
      <c r="D487" s="126"/>
    </row>
    <row r="488" spans="3:4">
      <c r="C488" s="126"/>
      <c r="D488" s="126"/>
    </row>
    <row r="489" spans="3:4">
      <c r="C489" s="126"/>
      <c r="D489" s="126"/>
    </row>
    <row r="490" spans="3:4">
      <c r="C490" s="126"/>
      <c r="D490" s="126"/>
    </row>
    <row r="491" spans="3:4">
      <c r="C491" s="126"/>
      <c r="D491" s="126"/>
    </row>
    <row r="492" spans="3:4">
      <c r="C492" s="126"/>
      <c r="D492" s="126"/>
    </row>
    <row r="493" spans="3:4">
      <c r="C493" s="126"/>
      <c r="D493" s="126"/>
    </row>
    <row r="494" spans="3:4">
      <c r="C494" s="126"/>
      <c r="D494" s="126"/>
    </row>
    <row r="495" spans="3:4">
      <c r="C495" s="126"/>
      <c r="D495" s="126"/>
    </row>
    <row r="496" spans="3:4">
      <c r="C496" s="126"/>
      <c r="D496" s="126"/>
    </row>
    <row r="497" spans="3:4">
      <c r="C497" s="126"/>
      <c r="D497" s="126"/>
    </row>
    <row r="498" spans="3:4">
      <c r="C498" s="126"/>
      <c r="D498" s="126"/>
    </row>
    <row r="499" spans="3:4">
      <c r="C499" s="126"/>
      <c r="D499" s="126"/>
    </row>
    <row r="500" spans="3:4">
      <c r="C500" s="126"/>
      <c r="D500" s="126"/>
    </row>
    <row r="501" spans="3:4">
      <c r="C501" s="126"/>
      <c r="D501" s="126"/>
    </row>
    <row r="502" spans="3:4">
      <c r="C502" s="126"/>
      <c r="D502" s="126"/>
    </row>
    <row r="503" spans="3:4">
      <c r="C503" s="126"/>
      <c r="D503" s="126"/>
    </row>
    <row r="504" spans="3:4">
      <c r="C504" s="126"/>
      <c r="D504" s="126"/>
    </row>
    <row r="505" spans="3:4">
      <c r="C505" s="126"/>
      <c r="D505" s="126"/>
    </row>
    <row r="506" spans="3:4">
      <c r="C506" s="126"/>
      <c r="D506" s="126"/>
    </row>
    <row r="507" spans="3:4">
      <c r="C507" s="126"/>
      <c r="D507" s="126"/>
    </row>
    <row r="508" spans="3:4">
      <c r="C508" s="126"/>
      <c r="D508" s="126"/>
    </row>
    <row r="509" spans="3:4">
      <c r="C509" s="126"/>
      <c r="D509" s="126"/>
    </row>
    <row r="510" spans="3:4">
      <c r="C510" s="126"/>
      <c r="D510" s="126"/>
    </row>
    <row r="511" spans="3:4">
      <c r="C511" s="126"/>
      <c r="D511" s="126"/>
    </row>
    <row r="512" spans="3:4">
      <c r="C512" s="126"/>
      <c r="D512" s="126"/>
    </row>
    <row r="513" spans="3:4">
      <c r="C513" s="126"/>
      <c r="D513" s="126"/>
    </row>
    <row r="514" spans="3:4">
      <c r="C514" s="126"/>
      <c r="D514" s="126"/>
    </row>
    <row r="515" spans="3:4">
      <c r="C515" s="126"/>
      <c r="D515" s="126"/>
    </row>
    <row r="516" spans="3:4">
      <c r="C516" s="126"/>
      <c r="D516" s="126"/>
    </row>
    <row r="517" spans="3:4">
      <c r="C517" s="126"/>
      <c r="D517" s="126"/>
    </row>
    <row r="518" spans="3:4">
      <c r="C518" s="126"/>
      <c r="D518" s="126"/>
    </row>
    <row r="519" spans="3:4">
      <c r="C519" s="126"/>
      <c r="D519" s="126"/>
    </row>
    <row r="520" spans="3:4">
      <c r="C520" s="126"/>
      <c r="D520" s="126"/>
    </row>
    <row r="521" spans="3:4">
      <c r="C521" s="126"/>
      <c r="D521" s="126"/>
    </row>
    <row r="522" spans="3:4">
      <c r="C522" s="126"/>
      <c r="D522" s="126"/>
    </row>
    <row r="523" spans="3:4">
      <c r="C523" s="126"/>
      <c r="D523" s="126"/>
    </row>
    <row r="524" spans="3:4">
      <c r="C524" s="126"/>
      <c r="D524" s="126"/>
    </row>
    <row r="525" spans="3:4">
      <c r="C525" s="126"/>
      <c r="D525" s="126"/>
    </row>
    <row r="526" spans="3:4">
      <c r="C526" s="126"/>
      <c r="D526" s="126"/>
    </row>
    <row r="527" spans="3:4">
      <c r="C527" s="126"/>
      <c r="D527" s="126"/>
    </row>
    <row r="528" spans="3:4">
      <c r="C528" s="126"/>
      <c r="D528" s="126"/>
    </row>
    <row r="529" spans="3:4">
      <c r="C529" s="126"/>
      <c r="D529" s="126"/>
    </row>
    <row r="530" spans="3:4">
      <c r="C530" s="126"/>
      <c r="D530" s="126"/>
    </row>
    <row r="531" spans="3:4">
      <c r="C531" s="126"/>
      <c r="D531" s="126"/>
    </row>
    <row r="532" spans="3:4">
      <c r="C532" s="126"/>
      <c r="D532" s="126"/>
    </row>
    <row r="533" spans="3:4">
      <c r="C533" s="126"/>
      <c r="D533" s="126"/>
    </row>
    <row r="534" spans="3:4">
      <c r="C534" s="126"/>
      <c r="D534" s="126"/>
    </row>
    <row r="535" spans="3:4">
      <c r="C535" s="126"/>
      <c r="D535" s="126"/>
    </row>
    <row r="536" spans="3:4">
      <c r="C536" s="126"/>
      <c r="D536" s="126"/>
    </row>
    <row r="537" spans="3:4">
      <c r="C537" s="126"/>
      <c r="D537" s="126"/>
    </row>
    <row r="538" spans="3:4">
      <c r="C538" s="126"/>
      <c r="D538" s="126"/>
    </row>
    <row r="539" spans="3:4">
      <c r="C539" s="126"/>
      <c r="D539" s="126"/>
    </row>
    <row r="540" spans="3:4">
      <c r="C540" s="126"/>
      <c r="D540" s="126"/>
    </row>
    <row r="541" spans="3:4">
      <c r="C541" s="126"/>
      <c r="D541" s="126"/>
    </row>
    <row r="542" spans="3:4">
      <c r="C542" s="126"/>
      <c r="D542" s="126"/>
    </row>
    <row r="543" spans="3:4">
      <c r="C543" s="126"/>
      <c r="D543" s="126"/>
    </row>
    <row r="544" spans="3:4">
      <c r="C544" s="126"/>
      <c r="D544" s="126"/>
    </row>
    <row r="545" spans="3:4">
      <c r="C545" s="126"/>
      <c r="D545" s="126"/>
    </row>
    <row r="546" spans="3:4">
      <c r="C546" s="126"/>
      <c r="D546" s="126"/>
    </row>
    <row r="547" spans="3:4">
      <c r="C547" s="126"/>
      <c r="D547" s="126"/>
    </row>
    <row r="548" spans="3:4">
      <c r="C548" s="126"/>
      <c r="D548" s="126"/>
    </row>
    <row r="549" spans="3:4">
      <c r="C549" s="126"/>
      <c r="D549" s="126"/>
    </row>
    <row r="550" spans="3:4">
      <c r="C550" s="126"/>
      <c r="D550" s="126"/>
    </row>
    <row r="551" spans="3:4">
      <c r="C551" s="126"/>
      <c r="D551" s="126"/>
    </row>
    <row r="552" spans="3:4">
      <c r="C552" s="126"/>
      <c r="D552" s="126"/>
    </row>
    <row r="553" spans="3:4">
      <c r="C553" s="126"/>
      <c r="D553" s="126"/>
    </row>
    <row r="554" spans="3:4">
      <c r="C554" s="126"/>
      <c r="D554" s="126"/>
    </row>
    <row r="555" spans="3:4">
      <c r="C555" s="126"/>
      <c r="D555" s="126"/>
    </row>
    <row r="556" spans="3:4">
      <c r="C556" s="126"/>
      <c r="D556" s="126"/>
    </row>
    <row r="557" spans="3:4">
      <c r="C557" s="126"/>
      <c r="D557" s="126"/>
    </row>
    <row r="558" spans="3:4">
      <c r="C558" s="126"/>
      <c r="D558" s="126"/>
    </row>
    <row r="559" spans="3:4">
      <c r="C559" s="126"/>
      <c r="D559" s="126"/>
    </row>
    <row r="560" spans="3:4">
      <c r="C560" s="126"/>
      <c r="D560" s="126"/>
    </row>
    <row r="561" spans="3:4">
      <c r="C561" s="126"/>
      <c r="D561" s="126"/>
    </row>
    <row r="562" spans="3:4">
      <c r="C562" s="126"/>
      <c r="D562" s="126"/>
    </row>
    <row r="563" spans="3:4">
      <c r="C563" s="126"/>
      <c r="D563" s="126"/>
    </row>
    <row r="564" spans="3:4">
      <c r="C564" s="126"/>
      <c r="D564" s="126"/>
    </row>
    <row r="565" spans="3:4">
      <c r="C565" s="126"/>
      <c r="D565" s="126"/>
    </row>
    <row r="566" spans="3:4">
      <c r="C566" s="126"/>
      <c r="D566" s="126"/>
    </row>
    <row r="567" spans="3:4">
      <c r="C567" s="126"/>
      <c r="D567" s="126"/>
    </row>
    <row r="568" spans="3:4">
      <c r="C568" s="126"/>
      <c r="D568" s="126"/>
    </row>
    <row r="569" spans="3:4">
      <c r="C569" s="126"/>
      <c r="D569" s="126"/>
    </row>
    <row r="570" spans="3:4">
      <c r="C570" s="126"/>
      <c r="D570" s="126"/>
    </row>
    <row r="571" spans="3:4">
      <c r="C571" s="126"/>
      <c r="D571" s="126"/>
    </row>
    <row r="572" spans="3:4">
      <c r="C572" s="126"/>
      <c r="D572" s="126"/>
    </row>
    <row r="573" spans="3:4">
      <c r="C573" s="126"/>
      <c r="D573" s="126"/>
    </row>
    <row r="574" spans="3:4">
      <c r="C574" s="126"/>
      <c r="D574" s="126"/>
    </row>
    <row r="575" spans="3:4">
      <c r="C575" s="126"/>
      <c r="D575" s="126"/>
    </row>
    <row r="576" spans="3:4">
      <c r="C576" s="126"/>
      <c r="D576" s="126"/>
    </row>
    <row r="577" spans="3:4">
      <c r="C577" s="126"/>
      <c r="D577" s="126"/>
    </row>
    <row r="578" spans="3:4">
      <c r="C578" s="126"/>
      <c r="D578" s="126"/>
    </row>
    <row r="579" spans="3:4">
      <c r="C579" s="126"/>
      <c r="D579" s="126"/>
    </row>
    <row r="580" spans="3:4">
      <c r="C580" s="126"/>
      <c r="D580" s="126"/>
    </row>
    <row r="581" spans="3:4">
      <c r="C581" s="126"/>
      <c r="D581" s="126"/>
    </row>
    <row r="582" spans="3:4">
      <c r="C582" s="126"/>
      <c r="D582" s="126"/>
    </row>
    <row r="583" spans="3:4">
      <c r="C583" s="126"/>
      <c r="D583" s="126"/>
    </row>
    <row r="584" spans="3:4">
      <c r="C584" s="126"/>
      <c r="D584" s="126"/>
    </row>
    <row r="585" spans="3:4">
      <c r="C585" s="126"/>
      <c r="D585" s="126"/>
    </row>
    <row r="586" spans="3:4">
      <c r="C586" s="126"/>
      <c r="D586" s="126"/>
    </row>
    <row r="587" spans="3:4">
      <c r="C587" s="126"/>
      <c r="D587" s="126"/>
    </row>
    <row r="588" spans="3:4">
      <c r="C588" s="126"/>
      <c r="D588" s="126"/>
    </row>
    <row r="589" spans="3:4">
      <c r="C589" s="126"/>
      <c r="D589" s="126"/>
    </row>
    <row r="590" spans="3:4">
      <c r="C590" s="126"/>
      <c r="D590" s="126"/>
    </row>
    <row r="591" spans="3:4">
      <c r="C591" s="126"/>
      <c r="D591" s="126"/>
    </row>
    <row r="592" spans="3:4">
      <c r="C592" s="126"/>
      <c r="D592" s="126"/>
    </row>
    <row r="593" spans="3:4">
      <c r="C593" s="126"/>
      <c r="D593" s="126"/>
    </row>
    <row r="594" spans="3:4">
      <c r="C594" s="126"/>
      <c r="D594" s="126"/>
    </row>
    <row r="595" spans="3:4">
      <c r="C595" s="126"/>
      <c r="D595" s="126"/>
    </row>
    <row r="596" spans="3:4">
      <c r="C596" s="126"/>
      <c r="D596" s="126"/>
    </row>
    <row r="597" spans="3:4">
      <c r="C597" s="126"/>
      <c r="D597" s="126"/>
    </row>
    <row r="598" spans="3:4">
      <c r="C598" s="126"/>
      <c r="D598" s="126"/>
    </row>
    <row r="599" spans="3:4">
      <c r="C599" s="126"/>
      <c r="D599" s="126"/>
    </row>
    <row r="600" spans="3:4">
      <c r="C600" s="126"/>
      <c r="D600" s="126"/>
    </row>
    <row r="601" spans="3:4">
      <c r="C601" s="126"/>
      <c r="D601" s="126"/>
    </row>
    <row r="602" spans="3:4">
      <c r="C602" s="126"/>
      <c r="D602" s="126"/>
    </row>
    <row r="603" spans="3:4">
      <c r="C603" s="126"/>
      <c r="D603" s="126"/>
    </row>
    <row r="604" spans="3:4">
      <c r="C604" s="126"/>
      <c r="D604" s="126"/>
    </row>
    <row r="605" spans="3:4">
      <c r="C605" s="126"/>
      <c r="D605" s="126"/>
    </row>
    <row r="606" spans="3:4">
      <c r="C606" s="126"/>
      <c r="D606" s="126"/>
    </row>
    <row r="607" spans="3:4">
      <c r="C607" s="126"/>
      <c r="D607" s="126"/>
    </row>
    <row r="608" spans="3:4">
      <c r="C608" s="126"/>
      <c r="D608" s="126"/>
    </row>
    <row r="609" spans="3:4">
      <c r="C609" s="126"/>
      <c r="D609" s="126"/>
    </row>
    <row r="610" spans="3:4">
      <c r="C610" s="126"/>
      <c r="D610" s="126"/>
    </row>
    <row r="611" spans="3:4">
      <c r="C611" s="126"/>
      <c r="D611" s="126"/>
    </row>
    <row r="612" spans="3:4">
      <c r="C612" s="126"/>
      <c r="D612" s="126"/>
    </row>
    <row r="613" spans="3:4">
      <c r="C613" s="126"/>
      <c r="D613" s="126"/>
    </row>
    <row r="614" spans="3:4">
      <c r="C614" s="126"/>
      <c r="D614" s="126"/>
    </row>
    <row r="615" spans="3:4">
      <c r="C615" s="126"/>
      <c r="D615" s="126"/>
    </row>
    <row r="616" spans="3:4">
      <c r="C616" s="126"/>
      <c r="D616" s="126"/>
    </row>
    <row r="617" spans="3:4">
      <c r="C617" s="126"/>
      <c r="D617" s="126"/>
    </row>
    <row r="618" spans="3:4">
      <c r="C618" s="126"/>
      <c r="D618" s="126"/>
    </row>
    <row r="619" spans="3:4">
      <c r="C619" s="126"/>
      <c r="D619" s="126"/>
    </row>
    <row r="620" spans="3:4">
      <c r="C620" s="126"/>
      <c r="D620" s="126"/>
    </row>
    <row r="621" spans="3:4">
      <c r="C621" s="126"/>
      <c r="D621" s="126"/>
    </row>
    <row r="622" spans="3:4">
      <c r="C622" s="126"/>
      <c r="D622" s="126"/>
    </row>
    <row r="623" spans="3:4">
      <c r="C623" s="126"/>
      <c r="D623" s="126"/>
    </row>
    <row r="624" spans="3:4">
      <c r="C624" s="126"/>
      <c r="D624" s="126"/>
    </row>
    <row r="625" spans="3:4">
      <c r="C625" s="126"/>
      <c r="D625" s="126"/>
    </row>
    <row r="626" spans="3:4">
      <c r="C626" s="126"/>
      <c r="D626" s="126"/>
    </row>
    <row r="627" spans="3:4">
      <c r="C627" s="126"/>
      <c r="D627" s="126"/>
    </row>
    <row r="628" spans="3:4">
      <c r="C628" s="126"/>
      <c r="D628" s="126"/>
    </row>
    <row r="629" spans="3:4">
      <c r="C629" s="126"/>
      <c r="D629" s="126"/>
    </row>
    <row r="630" spans="3:4">
      <c r="C630" s="126"/>
      <c r="D630" s="126"/>
    </row>
    <row r="631" spans="3:4">
      <c r="C631" s="126"/>
      <c r="D631" s="126"/>
    </row>
    <row r="632" spans="3:4">
      <c r="C632" s="126"/>
      <c r="D632" s="126"/>
    </row>
    <row r="633" spans="3:4">
      <c r="C633" s="126"/>
      <c r="D633" s="126"/>
    </row>
    <row r="634" spans="3:4">
      <c r="C634" s="126"/>
      <c r="D634" s="126"/>
    </row>
    <row r="635" spans="3:4">
      <c r="C635" s="126"/>
      <c r="D635" s="126"/>
    </row>
    <row r="636" spans="3:4">
      <c r="C636" s="126"/>
      <c r="D636" s="126"/>
    </row>
    <row r="637" spans="3:4">
      <c r="C637" s="126"/>
      <c r="D637" s="126"/>
    </row>
    <row r="638" spans="3:4">
      <c r="C638" s="126"/>
      <c r="D638" s="126"/>
    </row>
    <row r="639" spans="3:4">
      <c r="C639" s="126"/>
      <c r="D639" s="126"/>
    </row>
    <row r="640" spans="3:4">
      <c r="C640" s="126"/>
      <c r="D640" s="126"/>
    </row>
    <row r="641" spans="3:4">
      <c r="C641" s="126"/>
      <c r="D641" s="126"/>
    </row>
    <row r="642" spans="3:4">
      <c r="C642" s="126"/>
      <c r="D642" s="126"/>
    </row>
    <row r="643" spans="3:4">
      <c r="C643" s="126"/>
      <c r="D643" s="126"/>
    </row>
    <row r="644" spans="3:4">
      <c r="C644" s="126"/>
      <c r="D644" s="126"/>
    </row>
    <row r="645" spans="3:4">
      <c r="C645" s="126"/>
      <c r="D645" s="126"/>
    </row>
    <row r="646" spans="3:4">
      <c r="C646" s="126"/>
      <c r="D646" s="126"/>
    </row>
    <row r="647" spans="3:4">
      <c r="C647" s="126"/>
      <c r="D647" s="126"/>
    </row>
    <row r="648" spans="3:4">
      <c r="C648" s="126"/>
      <c r="D648" s="126"/>
    </row>
    <row r="649" spans="3:4">
      <c r="C649" s="126"/>
      <c r="D649" s="126"/>
    </row>
    <row r="650" spans="3:4">
      <c r="C650" s="126"/>
      <c r="D650" s="126"/>
    </row>
    <row r="651" spans="3:4">
      <c r="C651" s="126"/>
      <c r="D651" s="126"/>
    </row>
    <row r="652" spans="3:4">
      <c r="C652" s="126"/>
      <c r="D652" s="126"/>
    </row>
    <row r="653" spans="3:4">
      <c r="C653" s="126"/>
      <c r="D653" s="126"/>
    </row>
    <row r="654" spans="3:4">
      <c r="C654" s="126"/>
      <c r="D654" s="126"/>
    </row>
    <row r="655" spans="3:4">
      <c r="C655" s="126"/>
      <c r="D655" s="126"/>
    </row>
    <row r="656" spans="3:4">
      <c r="C656" s="126"/>
      <c r="D656" s="126"/>
    </row>
    <row r="657" spans="3:4">
      <c r="C657" s="126"/>
      <c r="D657" s="126"/>
    </row>
    <row r="658" spans="3:4">
      <c r="C658" s="126"/>
      <c r="D658" s="126"/>
    </row>
    <row r="659" spans="3:4">
      <c r="C659" s="126"/>
      <c r="D659" s="126"/>
    </row>
    <row r="660" spans="3:4">
      <c r="C660" s="126"/>
      <c r="D660" s="126"/>
    </row>
    <row r="661" spans="3:4">
      <c r="C661" s="126"/>
      <c r="D661" s="126"/>
    </row>
    <row r="662" spans="3:4">
      <c r="C662" s="126"/>
      <c r="D662" s="126"/>
    </row>
    <row r="663" spans="3:4">
      <c r="C663" s="126"/>
      <c r="D663" s="126"/>
    </row>
    <row r="664" spans="3:4">
      <c r="C664" s="126"/>
      <c r="D664" s="126"/>
    </row>
    <row r="665" spans="3:4">
      <c r="C665" s="126"/>
      <c r="D665" s="126"/>
    </row>
    <row r="666" spans="3:4">
      <c r="C666" s="126"/>
      <c r="D666" s="126"/>
    </row>
    <row r="667" spans="3:4">
      <c r="C667" s="126"/>
      <c r="D667" s="126"/>
    </row>
    <row r="668" spans="3:4">
      <c r="C668" s="126"/>
      <c r="D668" s="126"/>
    </row>
    <row r="669" spans="3:4">
      <c r="C669" s="126"/>
      <c r="D669" s="126"/>
    </row>
    <row r="670" spans="3:4">
      <c r="C670" s="126"/>
      <c r="D670" s="126"/>
    </row>
    <row r="671" spans="3:4">
      <c r="C671" s="126"/>
      <c r="D671" s="126"/>
    </row>
    <row r="672" spans="3:4">
      <c r="C672" s="126"/>
      <c r="D672" s="126"/>
    </row>
    <row r="673" spans="3:4">
      <c r="C673" s="126"/>
      <c r="D673" s="126"/>
    </row>
    <row r="674" spans="3:4">
      <c r="C674" s="126"/>
      <c r="D674" s="126"/>
    </row>
    <row r="675" spans="3:4">
      <c r="C675" s="126"/>
      <c r="D675" s="126"/>
    </row>
    <row r="676" spans="3:4">
      <c r="C676" s="126"/>
      <c r="D676" s="126"/>
    </row>
    <row r="677" spans="3:4">
      <c r="C677" s="126"/>
      <c r="D677" s="126"/>
    </row>
    <row r="678" spans="3:4">
      <c r="C678" s="126"/>
      <c r="D678" s="126"/>
    </row>
    <row r="679" spans="3:4">
      <c r="C679" s="126"/>
      <c r="D679" s="126"/>
    </row>
    <row r="680" spans="3:4">
      <c r="C680" s="126"/>
      <c r="D680" s="126"/>
    </row>
    <row r="681" spans="3:4">
      <c r="C681" s="126"/>
      <c r="D681" s="126"/>
    </row>
    <row r="682" spans="3:4">
      <c r="C682" s="126"/>
      <c r="D682" s="126"/>
    </row>
    <row r="683" spans="3:4">
      <c r="C683" s="126"/>
      <c r="D683" s="126"/>
    </row>
    <row r="684" spans="3:4">
      <c r="C684" s="126"/>
      <c r="D684" s="126"/>
    </row>
    <row r="685" spans="3:4">
      <c r="C685" s="126"/>
      <c r="D685" s="126"/>
    </row>
    <row r="686" spans="3:4">
      <c r="C686" s="126"/>
      <c r="D686" s="126"/>
    </row>
    <row r="687" spans="3:4">
      <c r="C687" s="126"/>
      <c r="D687" s="126"/>
    </row>
    <row r="688" spans="3:4">
      <c r="C688" s="126"/>
      <c r="D688" s="126"/>
    </row>
    <row r="689" spans="3:4">
      <c r="C689" s="126"/>
      <c r="D689" s="126"/>
    </row>
    <row r="690" spans="3:4">
      <c r="C690" s="126"/>
      <c r="D690" s="126"/>
    </row>
    <row r="691" spans="3:4">
      <c r="C691" s="126"/>
      <c r="D691" s="126"/>
    </row>
    <row r="692" spans="3:4">
      <c r="C692" s="126"/>
      <c r="D692" s="126"/>
    </row>
    <row r="693" spans="3:4">
      <c r="C693" s="126"/>
      <c r="D693" s="126"/>
    </row>
    <row r="694" spans="3:4">
      <c r="C694" s="126"/>
      <c r="D694" s="126"/>
    </row>
    <row r="695" spans="3:4">
      <c r="C695" s="126"/>
      <c r="D695" s="126"/>
    </row>
    <row r="696" spans="3:4">
      <c r="C696" s="126"/>
      <c r="D696" s="126"/>
    </row>
    <row r="697" spans="3:4">
      <c r="C697" s="126"/>
      <c r="D697" s="126"/>
    </row>
    <row r="698" spans="3:4">
      <c r="C698" s="126"/>
      <c r="D698" s="126"/>
    </row>
    <row r="699" spans="3:4">
      <c r="C699" s="126"/>
      <c r="D699" s="126"/>
    </row>
    <row r="700" spans="3:4">
      <c r="C700" s="126"/>
      <c r="D700" s="126"/>
    </row>
    <row r="701" spans="3:4">
      <c r="C701" s="126"/>
      <c r="D701" s="126"/>
    </row>
    <row r="702" spans="3:4">
      <c r="C702" s="126"/>
      <c r="D702" s="126"/>
    </row>
    <row r="703" spans="3:4">
      <c r="C703" s="126"/>
      <c r="D703" s="126"/>
    </row>
    <row r="704" spans="3:4">
      <c r="C704" s="126"/>
      <c r="D704" s="126"/>
    </row>
    <row r="705" spans="3:4">
      <c r="C705" s="126"/>
      <c r="D705" s="126"/>
    </row>
    <row r="706" spans="3:4">
      <c r="C706" s="126"/>
      <c r="D706" s="126"/>
    </row>
    <row r="707" spans="3:4">
      <c r="C707" s="126"/>
      <c r="D707" s="126"/>
    </row>
    <row r="708" spans="3:4">
      <c r="C708" s="126"/>
      <c r="D708" s="126"/>
    </row>
    <row r="709" spans="3:4">
      <c r="C709" s="126"/>
      <c r="D709" s="126"/>
    </row>
    <row r="710" spans="3:4">
      <c r="C710" s="126"/>
      <c r="D710" s="126"/>
    </row>
    <row r="711" spans="3:4">
      <c r="C711" s="126"/>
      <c r="D711" s="126"/>
    </row>
    <row r="712" spans="3:4">
      <c r="C712" s="126"/>
      <c r="D712" s="126"/>
    </row>
    <row r="713" spans="3:4">
      <c r="C713" s="126"/>
      <c r="D713" s="126"/>
    </row>
    <row r="714" spans="3:4">
      <c r="C714" s="126"/>
      <c r="D714" s="126"/>
    </row>
    <row r="715" spans="3:4">
      <c r="C715" s="126"/>
      <c r="D715" s="126"/>
    </row>
    <row r="716" spans="3:4">
      <c r="C716" s="126"/>
      <c r="D716" s="126"/>
    </row>
    <row r="717" spans="3:4">
      <c r="C717" s="126"/>
      <c r="D717" s="126"/>
    </row>
    <row r="718" spans="3:4">
      <c r="C718" s="126"/>
      <c r="D718" s="126"/>
    </row>
    <row r="719" spans="3:4">
      <c r="C719" s="126"/>
      <c r="D719" s="126"/>
    </row>
    <row r="720" spans="3:4">
      <c r="C720" s="126"/>
      <c r="D720" s="126"/>
    </row>
    <row r="721" spans="3:4">
      <c r="C721" s="126"/>
      <c r="D721" s="126"/>
    </row>
    <row r="722" spans="3:4">
      <c r="C722" s="126"/>
      <c r="D722" s="126"/>
    </row>
    <row r="723" spans="3:4">
      <c r="C723" s="126"/>
      <c r="D723" s="126"/>
    </row>
    <row r="724" spans="3:4">
      <c r="C724" s="126"/>
      <c r="D724" s="126"/>
    </row>
    <row r="725" spans="3:4">
      <c r="C725" s="126"/>
      <c r="D725" s="126"/>
    </row>
    <row r="726" spans="3:4">
      <c r="C726" s="126"/>
      <c r="D726" s="126"/>
    </row>
    <row r="727" spans="3:4">
      <c r="C727" s="126"/>
      <c r="D727" s="126"/>
    </row>
    <row r="728" spans="3:4">
      <c r="C728" s="126"/>
      <c r="D728" s="126"/>
    </row>
    <row r="729" spans="3:4">
      <c r="C729" s="126"/>
      <c r="D729" s="126"/>
    </row>
    <row r="730" spans="3:4">
      <c r="C730" s="126"/>
      <c r="D730" s="126"/>
    </row>
    <row r="731" spans="3:4">
      <c r="C731" s="126"/>
      <c r="D731" s="126"/>
    </row>
    <row r="732" spans="3:4">
      <c r="C732" s="126"/>
      <c r="D732" s="126"/>
    </row>
    <row r="733" spans="3:4">
      <c r="C733" s="126"/>
      <c r="D733" s="126"/>
    </row>
    <row r="734" spans="3:4">
      <c r="C734" s="126"/>
      <c r="D734" s="126"/>
    </row>
    <row r="735" spans="3:4">
      <c r="C735" s="126"/>
      <c r="D735" s="126"/>
    </row>
    <row r="736" spans="3:4">
      <c r="C736" s="126"/>
      <c r="D736" s="126"/>
    </row>
    <row r="737" spans="3:4">
      <c r="C737" s="126"/>
      <c r="D737" s="126"/>
    </row>
    <row r="738" spans="3:4">
      <c r="C738" s="126"/>
      <c r="D738" s="126"/>
    </row>
    <row r="739" spans="3:4">
      <c r="C739" s="126"/>
      <c r="D739" s="126"/>
    </row>
    <row r="740" spans="3:4">
      <c r="C740" s="126"/>
      <c r="D740" s="126"/>
    </row>
    <row r="741" spans="3:4">
      <c r="C741" s="126"/>
      <c r="D741" s="126"/>
    </row>
    <row r="742" spans="3:4">
      <c r="C742" s="126"/>
      <c r="D742" s="126"/>
    </row>
    <row r="743" spans="3:4">
      <c r="C743" s="126"/>
      <c r="D743" s="126"/>
    </row>
    <row r="744" spans="3:4">
      <c r="C744" s="126"/>
      <c r="D744" s="126"/>
    </row>
    <row r="745" spans="3:4">
      <c r="C745" s="126"/>
      <c r="D745" s="126"/>
    </row>
    <row r="746" spans="3:4">
      <c r="C746" s="126"/>
      <c r="D746" s="126"/>
    </row>
    <row r="747" spans="3:4">
      <c r="C747" s="126"/>
      <c r="D747" s="126"/>
    </row>
    <row r="748" spans="3:4">
      <c r="C748" s="126"/>
      <c r="D748" s="126"/>
    </row>
    <row r="749" spans="3:4">
      <c r="C749" s="126"/>
      <c r="D749" s="126"/>
    </row>
    <row r="750" spans="3:4">
      <c r="C750" s="126"/>
      <c r="D750" s="126"/>
    </row>
    <row r="751" spans="3:4">
      <c r="C751" s="126"/>
      <c r="D751" s="126"/>
    </row>
    <row r="752" spans="3:4">
      <c r="C752" s="126"/>
      <c r="D752" s="126"/>
    </row>
    <row r="753" spans="3:4">
      <c r="C753" s="126"/>
      <c r="D753" s="126"/>
    </row>
    <row r="754" spans="3:4">
      <c r="C754" s="126"/>
      <c r="D754" s="126"/>
    </row>
    <row r="755" spans="3:4">
      <c r="C755" s="126"/>
      <c r="D755" s="126"/>
    </row>
    <row r="756" spans="3:4">
      <c r="C756" s="126"/>
      <c r="D756" s="126"/>
    </row>
    <row r="757" spans="3:4">
      <c r="C757" s="126"/>
      <c r="D757" s="126"/>
    </row>
    <row r="758" spans="3:4">
      <c r="C758" s="126"/>
      <c r="D758" s="126"/>
    </row>
    <row r="759" spans="3:4">
      <c r="C759" s="126"/>
      <c r="D759" s="126"/>
    </row>
    <row r="760" spans="3:4">
      <c r="C760" s="126"/>
      <c r="D760" s="126"/>
    </row>
    <row r="761" spans="3:4">
      <c r="C761" s="126"/>
      <c r="D761" s="126"/>
    </row>
    <row r="762" spans="3:4">
      <c r="C762" s="126"/>
      <c r="D762" s="126"/>
    </row>
    <row r="763" spans="3:4">
      <c r="C763" s="126"/>
      <c r="D763" s="126"/>
    </row>
    <row r="764" spans="3:4">
      <c r="C764" s="126"/>
      <c r="D764" s="126"/>
    </row>
    <row r="765" spans="3:4">
      <c r="C765" s="126"/>
      <c r="D765" s="126"/>
    </row>
    <row r="766" spans="3:4">
      <c r="C766" s="126"/>
      <c r="D766" s="126"/>
    </row>
    <row r="767" spans="3:4">
      <c r="C767" s="126"/>
      <c r="D767" s="126"/>
    </row>
    <row r="768" spans="3:4">
      <c r="C768" s="126"/>
      <c r="D768" s="126"/>
    </row>
    <row r="769" spans="3:4">
      <c r="C769" s="126"/>
      <c r="D769" s="126"/>
    </row>
    <row r="770" spans="3:4">
      <c r="C770" s="126"/>
      <c r="D770" s="126"/>
    </row>
    <row r="771" spans="3:4">
      <c r="C771" s="126"/>
      <c r="D771" s="126"/>
    </row>
    <row r="772" spans="3:4">
      <c r="C772" s="126"/>
      <c r="D772" s="126"/>
    </row>
    <row r="773" spans="3:4">
      <c r="C773" s="126"/>
      <c r="D773" s="126"/>
    </row>
    <row r="774" spans="3:4">
      <c r="C774" s="126"/>
      <c r="D774" s="126"/>
    </row>
    <row r="775" spans="3:4">
      <c r="C775" s="126"/>
      <c r="D775" s="126"/>
    </row>
    <row r="776" spans="3:4">
      <c r="C776" s="126"/>
      <c r="D776" s="126"/>
    </row>
    <row r="777" spans="3:4">
      <c r="C777" s="126"/>
      <c r="D777" s="126"/>
    </row>
    <row r="778" spans="3:4">
      <c r="C778" s="126"/>
      <c r="D778" s="126"/>
    </row>
    <row r="779" spans="3:4">
      <c r="C779" s="126"/>
      <c r="D779" s="126"/>
    </row>
    <row r="780" spans="3:4">
      <c r="C780" s="126"/>
      <c r="D780" s="126"/>
    </row>
    <row r="781" spans="3:4">
      <c r="C781" s="126"/>
      <c r="D781" s="126"/>
    </row>
    <row r="782" spans="3:4">
      <c r="C782" s="126"/>
      <c r="D782" s="126"/>
    </row>
    <row r="783" spans="3:4">
      <c r="C783" s="126"/>
      <c r="D783" s="126"/>
    </row>
    <row r="784" spans="3:4">
      <c r="C784" s="126"/>
      <c r="D784" s="126"/>
    </row>
    <row r="785" spans="3:4">
      <c r="C785" s="126"/>
      <c r="D785" s="126"/>
    </row>
    <row r="786" spans="3:4">
      <c r="C786" s="126"/>
      <c r="D786" s="126"/>
    </row>
    <row r="787" spans="3:4">
      <c r="C787" s="126"/>
      <c r="D787" s="126"/>
    </row>
    <row r="788" spans="3:4">
      <c r="C788" s="126"/>
      <c r="D788" s="126"/>
    </row>
    <row r="789" spans="3:4">
      <c r="C789" s="126"/>
      <c r="D789" s="126"/>
    </row>
    <row r="790" spans="3:4">
      <c r="C790" s="126"/>
      <c r="D790" s="126"/>
    </row>
    <row r="791" spans="3:4">
      <c r="C791" s="126"/>
      <c r="D791" s="126"/>
    </row>
    <row r="792" spans="3:4">
      <c r="C792" s="126"/>
      <c r="D792" s="126"/>
    </row>
    <row r="793" spans="3:4">
      <c r="C793" s="126"/>
      <c r="D793" s="126"/>
    </row>
    <row r="794" spans="3:4">
      <c r="C794" s="126"/>
      <c r="D794" s="126"/>
    </row>
    <row r="795" spans="3:4">
      <c r="C795" s="126"/>
      <c r="D795" s="126"/>
    </row>
    <row r="796" spans="3:4">
      <c r="C796" s="126"/>
      <c r="D796" s="126"/>
    </row>
    <row r="797" spans="3:4">
      <c r="C797" s="126"/>
      <c r="D797" s="126"/>
    </row>
    <row r="798" spans="3:4">
      <c r="C798" s="126"/>
      <c r="D798" s="126"/>
    </row>
    <row r="799" spans="3:4">
      <c r="C799" s="126"/>
      <c r="D799" s="126"/>
    </row>
    <row r="800" spans="3:4">
      <c r="C800" s="126"/>
      <c r="D800" s="126"/>
    </row>
    <row r="801" spans="3:4">
      <c r="C801" s="126"/>
      <c r="D801" s="126"/>
    </row>
    <row r="802" spans="3:4">
      <c r="C802" s="126"/>
      <c r="D802" s="126"/>
    </row>
    <row r="803" spans="3:4">
      <c r="C803" s="126"/>
      <c r="D803" s="126"/>
    </row>
    <row r="804" spans="3:4">
      <c r="C804" s="126"/>
      <c r="D804" s="126"/>
    </row>
    <row r="805" spans="3:4">
      <c r="C805" s="126"/>
      <c r="D805" s="126"/>
    </row>
    <row r="806" spans="3:4">
      <c r="C806" s="126"/>
      <c r="D806" s="126"/>
    </row>
    <row r="807" spans="3:4">
      <c r="C807" s="126"/>
      <c r="D807" s="126"/>
    </row>
    <row r="808" spans="3:4">
      <c r="C808" s="126"/>
      <c r="D808" s="126"/>
    </row>
    <row r="809" spans="3:4">
      <c r="C809" s="126"/>
      <c r="D809" s="126"/>
    </row>
    <row r="810" spans="3:4">
      <c r="C810" s="126"/>
      <c r="D810" s="126"/>
    </row>
    <row r="811" spans="3:4">
      <c r="C811" s="126"/>
      <c r="D811" s="126"/>
    </row>
    <row r="812" spans="3:4">
      <c r="C812" s="126"/>
      <c r="D812" s="126"/>
    </row>
    <row r="813" spans="3:4">
      <c r="C813" s="126"/>
      <c r="D813" s="126"/>
    </row>
    <row r="814" spans="3:4">
      <c r="C814" s="126"/>
      <c r="D814" s="126"/>
    </row>
    <row r="815" spans="3:4">
      <c r="C815" s="126"/>
      <c r="D815" s="126"/>
    </row>
    <row r="816" spans="3:4">
      <c r="C816" s="126"/>
      <c r="D816" s="126"/>
    </row>
    <row r="817" spans="3:4">
      <c r="C817" s="126"/>
      <c r="D817" s="126"/>
    </row>
    <row r="818" spans="3:4">
      <c r="C818" s="126"/>
      <c r="D818" s="126"/>
    </row>
    <row r="819" spans="3:4">
      <c r="C819" s="126"/>
      <c r="D819" s="126"/>
    </row>
    <row r="820" spans="3:4">
      <c r="C820" s="126"/>
      <c r="D820" s="126"/>
    </row>
    <row r="821" spans="3:4">
      <c r="C821" s="126"/>
      <c r="D821" s="126"/>
    </row>
    <row r="822" spans="3:4">
      <c r="C822" s="126"/>
      <c r="D822" s="126"/>
    </row>
    <row r="823" spans="3:4">
      <c r="C823" s="126"/>
      <c r="D823" s="126"/>
    </row>
    <row r="824" spans="3:4">
      <c r="C824" s="126"/>
      <c r="D824" s="126"/>
    </row>
    <row r="825" spans="3:4">
      <c r="C825" s="126"/>
      <c r="D825" s="126"/>
    </row>
    <row r="826" spans="3:4">
      <c r="C826" s="126"/>
      <c r="D826" s="126"/>
    </row>
    <row r="827" spans="3:4">
      <c r="C827" s="126"/>
      <c r="D827" s="126"/>
    </row>
    <row r="828" spans="3:4">
      <c r="C828" s="126"/>
      <c r="D828" s="126"/>
    </row>
    <row r="829" spans="3:4">
      <c r="C829" s="126"/>
      <c r="D829" s="126"/>
    </row>
    <row r="830" spans="3:4">
      <c r="C830" s="126"/>
      <c r="D830" s="126"/>
    </row>
    <row r="831" spans="3:4">
      <c r="C831" s="126"/>
      <c r="D831" s="126"/>
    </row>
    <row r="832" spans="3:4">
      <c r="C832" s="126"/>
      <c r="D832" s="126"/>
    </row>
    <row r="833" spans="3:4">
      <c r="C833" s="126"/>
      <c r="D833" s="126"/>
    </row>
    <row r="834" spans="3:4">
      <c r="C834" s="126"/>
      <c r="D834" s="126"/>
    </row>
    <row r="835" spans="3:4">
      <c r="C835" s="126"/>
      <c r="D835" s="126"/>
    </row>
    <row r="836" spans="3:4">
      <c r="C836" s="126"/>
      <c r="D836" s="126"/>
    </row>
    <row r="837" spans="3:4">
      <c r="C837" s="126"/>
      <c r="D837" s="126"/>
    </row>
    <row r="838" spans="3:4">
      <c r="C838" s="126"/>
      <c r="D838" s="126"/>
    </row>
    <row r="839" spans="3:4">
      <c r="C839" s="126"/>
      <c r="D839" s="126"/>
    </row>
    <row r="840" spans="3:4">
      <c r="C840" s="126"/>
      <c r="D840" s="126"/>
    </row>
    <row r="841" spans="3:4">
      <c r="C841" s="126"/>
      <c r="D841" s="126"/>
    </row>
    <row r="842" spans="3:4">
      <c r="C842" s="126"/>
      <c r="D842" s="126"/>
    </row>
    <row r="843" spans="3:4">
      <c r="C843" s="126"/>
      <c r="D843" s="126"/>
    </row>
    <row r="844" spans="3:4">
      <c r="C844" s="126"/>
      <c r="D844" s="126"/>
    </row>
    <row r="845" spans="3:4">
      <c r="C845" s="126"/>
      <c r="D845" s="126"/>
    </row>
    <row r="846" spans="3:4">
      <c r="C846" s="126"/>
      <c r="D846" s="126"/>
    </row>
    <row r="847" spans="3:4">
      <c r="C847" s="126"/>
      <c r="D847" s="126"/>
    </row>
    <row r="848" spans="3:4">
      <c r="C848" s="126"/>
      <c r="D848" s="126"/>
    </row>
    <row r="849" spans="3:4">
      <c r="C849" s="126"/>
      <c r="D849" s="126"/>
    </row>
    <row r="850" spans="3:4">
      <c r="C850" s="126"/>
      <c r="D850" s="126"/>
    </row>
    <row r="851" spans="3:4">
      <c r="C851" s="126"/>
      <c r="D851" s="126"/>
    </row>
    <row r="852" spans="3:4">
      <c r="C852" s="126"/>
      <c r="D852" s="126"/>
    </row>
    <row r="853" spans="3:4">
      <c r="C853" s="126"/>
      <c r="D853" s="126"/>
    </row>
    <row r="854" spans="3:4">
      <c r="C854" s="126"/>
      <c r="D854" s="126"/>
    </row>
    <row r="855" spans="3:4">
      <c r="C855" s="126"/>
      <c r="D855" s="126"/>
    </row>
    <row r="856" spans="3:4">
      <c r="C856" s="126"/>
      <c r="D856" s="126"/>
    </row>
    <row r="857" spans="3:4">
      <c r="C857" s="126"/>
      <c r="D857" s="126"/>
    </row>
    <row r="858" spans="3:4">
      <c r="C858" s="126"/>
      <c r="D858" s="126"/>
    </row>
    <row r="859" spans="3:4">
      <c r="C859" s="126"/>
      <c r="D859" s="126"/>
    </row>
    <row r="860" spans="3:4">
      <c r="C860" s="126"/>
      <c r="D860" s="126"/>
    </row>
    <row r="861" spans="3:4">
      <c r="C861" s="126"/>
      <c r="D861" s="126"/>
    </row>
    <row r="862" spans="3:4">
      <c r="C862" s="126"/>
      <c r="D862" s="126"/>
    </row>
    <row r="863" spans="3:4">
      <c r="C863" s="126"/>
      <c r="D863" s="126"/>
    </row>
    <row r="864" spans="3:4">
      <c r="C864" s="126"/>
      <c r="D864" s="126"/>
    </row>
    <row r="865" spans="3:4">
      <c r="C865" s="126"/>
      <c r="D865" s="126"/>
    </row>
    <row r="866" spans="3:4">
      <c r="C866" s="126"/>
      <c r="D866" s="126"/>
    </row>
    <row r="867" spans="3:4">
      <c r="C867" s="126"/>
      <c r="D867" s="126"/>
    </row>
    <row r="868" spans="3:4">
      <c r="C868" s="126"/>
      <c r="D868" s="126"/>
    </row>
    <row r="869" spans="3:4">
      <c r="C869" s="126"/>
      <c r="D869" s="126"/>
    </row>
    <row r="870" spans="3:4">
      <c r="C870" s="126"/>
      <c r="D870" s="126"/>
    </row>
    <row r="871" spans="3:4">
      <c r="C871" s="126"/>
      <c r="D871" s="126"/>
    </row>
    <row r="872" spans="3:4">
      <c r="C872" s="126"/>
      <c r="D872" s="126"/>
    </row>
    <row r="873" spans="3:4">
      <c r="C873" s="126"/>
      <c r="D873" s="126"/>
    </row>
    <row r="874" spans="3:4">
      <c r="C874" s="126"/>
      <c r="D874" s="126"/>
    </row>
    <row r="875" spans="3:4">
      <c r="C875" s="126"/>
      <c r="D875" s="126"/>
    </row>
    <row r="876" spans="3:4">
      <c r="C876" s="126"/>
      <c r="D876" s="126"/>
    </row>
    <row r="877" spans="3:4">
      <c r="C877" s="126"/>
      <c r="D877" s="126"/>
    </row>
    <row r="878" spans="3:4">
      <c r="C878" s="126"/>
      <c r="D878" s="126"/>
    </row>
    <row r="879" spans="3:4">
      <c r="C879" s="126"/>
      <c r="D879" s="126"/>
    </row>
    <row r="880" spans="3:4">
      <c r="C880" s="126"/>
      <c r="D880" s="126"/>
    </row>
    <row r="881" spans="3:4">
      <c r="C881" s="126"/>
      <c r="D881" s="126"/>
    </row>
    <row r="882" spans="3:4">
      <c r="C882" s="126"/>
      <c r="D882" s="126"/>
    </row>
    <row r="883" spans="3:4">
      <c r="C883" s="126"/>
      <c r="D883" s="126"/>
    </row>
    <row r="884" spans="3:4">
      <c r="C884" s="126"/>
      <c r="D884" s="126"/>
    </row>
    <row r="885" spans="3:4">
      <c r="C885" s="126"/>
      <c r="D885" s="126"/>
    </row>
    <row r="886" spans="3:4">
      <c r="C886" s="126"/>
      <c r="D886" s="126"/>
    </row>
    <row r="887" spans="3:4">
      <c r="C887" s="126"/>
      <c r="D887" s="126"/>
    </row>
    <row r="888" spans="3:4">
      <c r="C888" s="126"/>
      <c r="D888" s="126"/>
    </row>
    <row r="889" spans="3:4">
      <c r="C889" s="126"/>
      <c r="D889" s="126"/>
    </row>
    <row r="890" spans="3:4">
      <c r="C890" s="126"/>
      <c r="D890" s="126"/>
    </row>
    <row r="891" spans="3:4">
      <c r="C891" s="126"/>
      <c r="D891" s="126"/>
    </row>
    <row r="892" spans="3:4">
      <c r="C892" s="126"/>
      <c r="D892" s="126"/>
    </row>
    <row r="893" spans="3:4">
      <c r="C893" s="126"/>
      <c r="D893" s="126"/>
    </row>
    <row r="894" spans="3:4">
      <c r="C894" s="126"/>
      <c r="D894" s="126"/>
    </row>
    <row r="895" spans="3:4">
      <c r="C895" s="126"/>
      <c r="D895" s="126"/>
    </row>
    <row r="896" spans="3:4">
      <c r="C896" s="126"/>
      <c r="D896" s="126"/>
    </row>
    <row r="897" spans="3:4">
      <c r="C897" s="126"/>
      <c r="D897" s="126"/>
    </row>
    <row r="898" spans="3:4">
      <c r="C898" s="126"/>
      <c r="D898" s="126"/>
    </row>
    <row r="899" spans="3:4">
      <c r="C899" s="126"/>
      <c r="D899" s="126"/>
    </row>
    <row r="900" spans="3:4">
      <c r="C900" s="126"/>
      <c r="D900" s="126"/>
    </row>
    <row r="901" spans="3:4">
      <c r="C901" s="126"/>
      <c r="D901" s="126"/>
    </row>
    <row r="902" spans="3:4">
      <c r="C902" s="126"/>
      <c r="D902" s="126"/>
    </row>
    <row r="903" spans="3:4">
      <c r="C903" s="126"/>
      <c r="D903" s="126"/>
    </row>
    <row r="904" spans="3:4">
      <c r="C904" s="126"/>
      <c r="D904" s="126"/>
    </row>
    <row r="905" spans="3:4">
      <c r="C905" s="126"/>
      <c r="D905" s="126"/>
    </row>
    <row r="906" spans="3:4">
      <c r="C906" s="126"/>
      <c r="D906" s="126"/>
    </row>
    <row r="907" spans="3:4">
      <c r="C907" s="126"/>
      <c r="D907" s="126"/>
    </row>
    <row r="908" spans="3:4">
      <c r="C908" s="126"/>
      <c r="D908" s="126"/>
    </row>
    <row r="909" spans="3:4">
      <c r="C909" s="126"/>
      <c r="D909" s="126"/>
    </row>
    <row r="910" spans="3:4">
      <c r="C910" s="126"/>
      <c r="D910" s="126"/>
    </row>
    <row r="911" spans="3:4">
      <c r="C911" s="126"/>
      <c r="D911" s="126"/>
    </row>
    <row r="912" spans="3:4">
      <c r="C912" s="126"/>
      <c r="D912" s="126"/>
    </row>
    <row r="913" spans="3:4">
      <c r="C913" s="126"/>
      <c r="D913" s="126"/>
    </row>
    <row r="914" spans="3:4">
      <c r="C914" s="126"/>
      <c r="D914" s="126"/>
    </row>
    <row r="915" spans="3:4">
      <c r="C915" s="126"/>
      <c r="D915" s="126"/>
    </row>
    <row r="916" spans="3:4">
      <c r="C916" s="126"/>
      <c r="D916" s="126"/>
    </row>
    <row r="917" spans="3:4">
      <c r="C917" s="126"/>
      <c r="D917" s="126"/>
    </row>
    <row r="918" spans="3:4">
      <c r="C918" s="126"/>
      <c r="D918" s="126"/>
    </row>
    <row r="919" spans="3:4">
      <c r="C919" s="126"/>
      <c r="D919" s="126"/>
    </row>
    <row r="920" spans="3:4">
      <c r="C920" s="126"/>
      <c r="D920" s="126"/>
    </row>
    <row r="921" spans="3:4">
      <c r="C921" s="126"/>
      <c r="D921" s="126"/>
    </row>
    <row r="922" spans="3:4">
      <c r="C922" s="126"/>
      <c r="D922" s="126"/>
    </row>
    <row r="923" spans="3:4">
      <c r="C923" s="126"/>
      <c r="D923" s="126"/>
    </row>
    <row r="924" spans="3:4">
      <c r="C924" s="126"/>
      <c r="D924" s="126"/>
    </row>
    <row r="925" spans="3:4">
      <c r="C925" s="126"/>
      <c r="D925" s="126"/>
    </row>
    <row r="926" spans="3:4">
      <c r="C926" s="126"/>
      <c r="D926" s="126"/>
    </row>
    <row r="927" spans="3:4">
      <c r="C927" s="126"/>
      <c r="D927" s="126"/>
    </row>
    <row r="928" spans="3:4">
      <c r="C928" s="126"/>
      <c r="D928" s="126"/>
    </row>
    <row r="929" spans="3:4">
      <c r="C929" s="126"/>
      <c r="D929" s="126"/>
    </row>
    <row r="930" spans="3:4">
      <c r="C930" s="126"/>
      <c r="D930" s="126"/>
    </row>
    <row r="931" spans="3:4">
      <c r="C931" s="126"/>
      <c r="D931" s="126"/>
    </row>
    <row r="932" spans="3:4">
      <c r="C932" s="126"/>
      <c r="D932" s="126"/>
    </row>
    <row r="933" spans="3:4">
      <c r="C933" s="126"/>
      <c r="D933" s="126"/>
    </row>
    <row r="934" spans="3:4">
      <c r="C934" s="126"/>
      <c r="D934" s="126"/>
    </row>
    <row r="935" spans="3:4">
      <c r="C935" s="126"/>
      <c r="D935" s="126"/>
    </row>
    <row r="936" spans="3:4">
      <c r="C936" s="126"/>
      <c r="D936" s="126"/>
    </row>
    <row r="937" spans="3:4">
      <c r="C937" s="126"/>
      <c r="D937" s="126"/>
    </row>
    <row r="938" spans="3:4">
      <c r="C938" s="126"/>
      <c r="D938" s="126"/>
    </row>
    <row r="939" spans="3:4">
      <c r="C939" s="126"/>
      <c r="D939" s="126"/>
    </row>
    <row r="940" spans="3:4">
      <c r="C940" s="126"/>
      <c r="D940" s="126"/>
    </row>
    <row r="941" spans="3:4">
      <c r="C941" s="126"/>
      <c r="D941" s="126"/>
    </row>
    <row r="942" spans="3:4">
      <c r="C942" s="126"/>
      <c r="D942" s="126"/>
    </row>
    <row r="943" spans="3:4">
      <c r="C943" s="126"/>
      <c r="D943" s="126"/>
    </row>
    <row r="944" spans="3:4">
      <c r="C944" s="126"/>
      <c r="D944" s="126"/>
    </row>
    <row r="945" spans="3:4">
      <c r="C945" s="126"/>
      <c r="D945" s="126"/>
    </row>
    <row r="946" spans="3:4">
      <c r="C946" s="126"/>
      <c r="D946" s="126"/>
    </row>
    <row r="947" spans="3:4">
      <c r="C947" s="126"/>
      <c r="D947" s="126"/>
    </row>
    <row r="948" spans="3:4">
      <c r="C948" s="126"/>
      <c r="D948" s="126"/>
    </row>
    <row r="949" spans="3:4">
      <c r="C949" s="126"/>
      <c r="D949" s="126"/>
    </row>
    <row r="950" spans="3:4">
      <c r="C950" s="126"/>
      <c r="D950" s="126"/>
    </row>
    <row r="951" spans="3:4">
      <c r="C951" s="126"/>
      <c r="D951" s="126"/>
    </row>
    <row r="952" spans="3:4">
      <c r="C952" s="126"/>
      <c r="D952" s="126"/>
    </row>
    <row r="953" spans="3:4">
      <c r="C953" s="126"/>
      <c r="D953" s="126"/>
    </row>
    <row r="954" spans="3:4">
      <c r="C954" s="126"/>
      <c r="D954" s="126"/>
    </row>
    <row r="955" spans="3:4">
      <c r="C955" s="126"/>
      <c r="D955" s="126"/>
    </row>
    <row r="956" spans="3:4">
      <c r="C956" s="126"/>
      <c r="D956" s="126"/>
    </row>
    <row r="957" spans="3:4">
      <c r="C957" s="126"/>
      <c r="D957" s="126"/>
    </row>
    <row r="958" spans="3:4">
      <c r="C958" s="126"/>
      <c r="D958" s="126"/>
    </row>
    <row r="959" spans="3:4">
      <c r="C959" s="126"/>
      <c r="D959" s="126"/>
    </row>
    <row r="960" spans="3:4">
      <c r="C960" s="126"/>
      <c r="D960" s="126"/>
    </row>
    <row r="961" spans="3:4">
      <c r="C961" s="126"/>
      <c r="D961" s="126"/>
    </row>
    <row r="962" spans="3:4">
      <c r="C962" s="126"/>
      <c r="D962" s="126"/>
    </row>
    <row r="963" spans="3:4">
      <c r="C963" s="126"/>
      <c r="D963" s="126"/>
    </row>
    <row r="964" spans="3:4">
      <c r="C964" s="126"/>
      <c r="D964" s="126"/>
    </row>
    <row r="965" spans="3:4">
      <c r="C965" s="126"/>
      <c r="D965" s="126"/>
    </row>
    <row r="966" spans="3:4">
      <c r="C966" s="126"/>
      <c r="D966" s="126"/>
    </row>
    <row r="967" spans="3:4">
      <c r="C967" s="126"/>
      <c r="D967" s="126"/>
    </row>
    <row r="968" spans="3:4">
      <c r="C968" s="126"/>
      <c r="D968" s="126"/>
    </row>
    <row r="969" spans="3:4">
      <c r="C969" s="126"/>
      <c r="D969" s="126"/>
    </row>
    <row r="970" spans="3:4">
      <c r="C970" s="126"/>
      <c r="D970" s="126"/>
    </row>
    <row r="971" spans="3:4">
      <c r="C971" s="126"/>
      <c r="D971" s="126"/>
    </row>
    <row r="972" spans="3:4">
      <c r="C972" s="126"/>
      <c r="D972" s="126"/>
    </row>
    <row r="973" spans="3:4">
      <c r="C973" s="126"/>
      <c r="D973" s="126"/>
    </row>
    <row r="974" spans="3:4">
      <c r="C974" s="126"/>
      <c r="D974" s="126"/>
    </row>
    <row r="975" spans="3:4">
      <c r="C975" s="126"/>
      <c r="D975" s="126"/>
    </row>
    <row r="976" spans="3:4">
      <c r="C976" s="126"/>
      <c r="D976" s="126"/>
    </row>
    <row r="977" spans="3:4">
      <c r="C977" s="126"/>
      <c r="D977" s="126"/>
    </row>
    <row r="978" spans="3:4">
      <c r="C978" s="126"/>
      <c r="D978" s="126"/>
    </row>
    <row r="979" spans="3:4">
      <c r="C979" s="126"/>
      <c r="D979" s="126"/>
    </row>
    <row r="980" spans="3:4">
      <c r="C980" s="126"/>
      <c r="D980" s="126"/>
    </row>
    <row r="981" spans="3:4">
      <c r="C981" s="126"/>
      <c r="D981" s="126"/>
    </row>
    <row r="982" spans="3:4">
      <c r="C982" s="126"/>
      <c r="D982" s="126"/>
    </row>
    <row r="983" spans="3:4">
      <c r="C983" s="126"/>
      <c r="D983" s="126"/>
    </row>
    <row r="984" spans="3:4">
      <c r="C984" s="126"/>
      <c r="D984" s="126"/>
    </row>
    <row r="985" spans="3:4">
      <c r="C985" s="126"/>
      <c r="D985" s="126"/>
    </row>
    <row r="986" spans="3:4">
      <c r="C986" s="126"/>
      <c r="D986" s="126"/>
    </row>
    <row r="987" spans="3:4">
      <c r="C987" s="126"/>
      <c r="D987" s="126"/>
    </row>
    <row r="988" spans="3:4">
      <c r="C988" s="126"/>
      <c r="D988" s="126"/>
    </row>
    <row r="989" spans="3:4">
      <c r="C989" s="126"/>
      <c r="D989" s="126"/>
    </row>
    <row r="990" spans="3:4">
      <c r="C990" s="126"/>
      <c r="D990" s="126"/>
    </row>
    <row r="991" spans="3:4">
      <c r="C991" s="126"/>
      <c r="D991" s="126"/>
    </row>
    <row r="992" spans="3:4">
      <c r="C992" s="126"/>
      <c r="D992" s="126"/>
    </row>
    <row r="993" spans="3:4">
      <c r="C993" s="126"/>
      <c r="D993" s="126"/>
    </row>
    <row r="994" spans="3:4">
      <c r="C994" s="126"/>
      <c r="D994" s="126"/>
    </row>
    <row r="995" spans="3:4">
      <c r="C995" s="126"/>
      <c r="D995" s="126"/>
    </row>
    <row r="996" spans="3:4">
      <c r="C996" s="126"/>
      <c r="D996" s="126"/>
    </row>
    <row r="997" spans="3:4">
      <c r="C997" s="126"/>
      <c r="D997" s="126"/>
    </row>
    <row r="998" spans="3:4">
      <c r="C998" s="126"/>
      <c r="D998" s="126"/>
    </row>
    <row r="999" spans="3:4">
      <c r="C999" s="126"/>
      <c r="D999" s="126"/>
    </row>
    <row r="1000" spans="3:4">
      <c r="C1000" s="126"/>
      <c r="D1000" s="12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PAA 2025 Consolidado_septiembre</vt:lpstr>
      <vt:lpstr>Ejecución por proyecto de inver</vt:lpstr>
      <vt:lpstr>Tablas dinámicas</vt:lpstr>
      <vt:lpstr>TablaDianmica</vt:lpstr>
      <vt:lpstr>Programación por dependencia</vt:lpstr>
      <vt:lpstr>Tabla dinámica 3</vt:lpstr>
      <vt:lpstr>_xlcn.WorksheetConnection_ConsolidadoA1AW3561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PATIÑO GUTIERREZ MARIA JOSE</cp:lastModifiedBy>
  <dcterms:modified xsi:type="dcterms:W3CDTF">2025-10-03T15:20:43Z</dcterms:modified>
</cp:coreProperties>
</file>